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&amp;L" sheetId="1" r:id="rId1"/>
    <sheet name="BS" sheetId="2" r:id="rId2"/>
    <sheet name="CF" sheetId="3" r:id="rId3"/>
    <sheet name="EQY" sheetId="4" r:id="rId4"/>
    <sheet name="G&amp;L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1">'BS'!$A$1:$E$58</definedName>
    <definedName name="_xlnm.Print_Area" localSheetId="2">'CF'!$A$1:$N$85</definedName>
    <definedName name="_xlnm.Print_Area" localSheetId="3">'EQY'!$A$1:$S$36</definedName>
    <definedName name="_xlnm.Print_Area" localSheetId="4">'G&amp;L'!$A$1:$D$57</definedName>
    <definedName name="_xlnm.Print_Area" localSheetId="0">'P&amp;L'!$A$1:$H$59</definedName>
    <definedName name="_xlnm.Print_Titles" localSheetId="2">'CF'!$1:$7</definedName>
  </definedNames>
  <calcPr fullCalcOnLoad="1"/>
</workbook>
</file>

<file path=xl/sharedStrings.xml><?xml version="1.0" encoding="utf-8"?>
<sst xmlns="http://schemas.openxmlformats.org/spreadsheetml/2006/main" count="213" uniqueCount="160">
  <si>
    <t xml:space="preserve"> </t>
  </si>
  <si>
    <t>CURRENT YEAR</t>
  </si>
  <si>
    <t>PRECEDING YEAR</t>
  </si>
  <si>
    <t>QUARTER</t>
  </si>
  <si>
    <t>CORRESPONDING</t>
  </si>
  <si>
    <t>Revenue</t>
  </si>
  <si>
    <t>MAGNA PRIMA BERHAD</t>
  </si>
  <si>
    <t>CURRENT ASSETS</t>
  </si>
  <si>
    <t>CURRENT LIABILITIES</t>
  </si>
  <si>
    <t>SHARE CAPITAL</t>
  </si>
  <si>
    <t>RESERVES</t>
  </si>
  <si>
    <t>Reserves</t>
  </si>
  <si>
    <t>Inventories</t>
  </si>
  <si>
    <t xml:space="preserve">Development properties </t>
  </si>
  <si>
    <t>FOR THE QUARTER ENDED 30 SEPT 2002</t>
  </si>
  <si>
    <t>RM</t>
  </si>
  <si>
    <t xml:space="preserve">Taxation </t>
  </si>
  <si>
    <t>Share of Results of Joint Venture Entities</t>
  </si>
  <si>
    <t>As At</t>
  </si>
  <si>
    <t xml:space="preserve">As At </t>
  </si>
  <si>
    <t>Total</t>
  </si>
  <si>
    <t>CONDENSED CONSOLIDATED STATEMENT OF RECOGNISED GAINS AND LOSSES</t>
  </si>
  <si>
    <t xml:space="preserve">9 month cumulative </t>
  </si>
  <si>
    <t>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</si>
  <si>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</si>
  <si>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</si>
  <si>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</si>
  <si>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</si>
  <si>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</si>
  <si>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>RM'000</t>
  </si>
  <si>
    <t>Operating expenses</t>
  </si>
  <si>
    <t>Annual Financial Report for the year ended 31st December 2001)</t>
  </si>
  <si>
    <t>(The Condensed Consolidated Statement of Recognised Gains and Losses should be read in conjuction with the</t>
  </si>
  <si>
    <t xml:space="preserve">         Basic (sen)</t>
  </si>
  <si>
    <t>NET CURRENT ASSETS</t>
  </si>
  <si>
    <t>Share</t>
  </si>
  <si>
    <t>Capital</t>
  </si>
  <si>
    <t>Retained</t>
  </si>
  <si>
    <t>Premium</t>
  </si>
  <si>
    <t>Reserve</t>
  </si>
  <si>
    <t>Profit</t>
  </si>
  <si>
    <t>CASH FLOWS FROM OPERATING ACTIVITIES</t>
  </si>
  <si>
    <t>Interest income</t>
  </si>
  <si>
    <t>Interest received</t>
  </si>
  <si>
    <t>Interest paid</t>
  </si>
  <si>
    <t>CASH FLOWS FROM INVESTING ACTIVITIES</t>
  </si>
  <si>
    <t>Purchase of property, plant and equipment</t>
  </si>
  <si>
    <t>CASH FLOWS FROM FINANCING ACTIVITIES</t>
  </si>
  <si>
    <t>Amount owing to directors</t>
  </si>
  <si>
    <t xml:space="preserve">New shares issued </t>
  </si>
  <si>
    <t>Bad debts written off</t>
  </si>
  <si>
    <t>The condensed Consolidated Income Statements should be read in conjunction with the audited financial statements for</t>
  </si>
  <si>
    <t>Depreciation of property, plant and equipment</t>
  </si>
  <si>
    <t>Gain on disposal of property, plant and equipment</t>
  </si>
  <si>
    <t>Interest expenses</t>
  </si>
  <si>
    <t>Amount owing by customers on contract</t>
  </si>
  <si>
    <t>Trade and other payables</t>
  </si>
  <si>
    <t>Taxation paid</t>
  </si>
  <si>
    <t>The condensed Consolidated Cash Flow Statements should be read in conjunction with the audited financial statements for</t>
  </si>
  <si>
    <t>Net proceeds from disposal of property, plant and equipment</t>
  </si>
  <si>
    <t>Investment in joint venture</t>
  </si>
  <si>
    <t>CASH EQUIVALENTS</t>
  </si>
  <si>
    <t>OPENING BALANCE OF CASH AND</t>
  </si>
  <si>
    <t xml:space="preserve">CLOSING BALANCE OF CASH AND </t>
  </si>
  <si>
    <t>Closing balance of cash and cash equivalents comprises :-</t>
  </si>
  <si>
    <t>Cash and bank balances</t>
  </si>
  <si>
    <t>Bank Overdraft</t>
  </si>
  <si>
    <t xml:space="preserve">Profit before taxation </t>
  </si>
  <si>
    <t>Operating Profit Before Working Capital Changes</t>
  </si>
  <si>
    <t>NET INCREASE IN CASH AND</t>
  </si>
  <si>
    <t>Joint venture</t>
  </si>
  <si>
    <t xml:space="preserve">   </t>
  </si>
  <si>
    <t>Net repayment of hire purchase liabilities</t>
  </si>
  <si>
    <t>Cash held under Housing Development Accounts</t>
  </si>
  <si>
    <t>Less : Deposits pledged with licensed bank</t>
  </si>
  <si>
    <t>Balance as at 1st January 2006</t>
  </si>
  <si>
    <t>Attributable to:</t>
  </si>
  <si>
    <t>Equity holders of the parent</t>
  </si>
  <si>
    <t>Shareholders</t>
  </si>
  <si>
    <t>Equity</t>
  </si>
  <si>
    <t>Minority</t>
  </si>
  <si>
    <t>TOTAL EQUITY</t>
  </si>
  <si>
    <t>Earnings per share attributable</t>
  </si>
  <si>
    <t xml:space="preserve">         Diluted (sen) </t>
  </si>
  <si>
    <t>explanatory notes attached to the interim financial statements.</t>
  </si>
  <si>
    <t>N/A</t>
  </si>
  <si>
    <t xml:space="preserve">Net assets per share attributable to equity holders </t>
  </si>
  <si>
    <t>of the parent (RM)</t>
  </si>
  <si>
    <t>Attributable to equity holders of the parent</t>
  </si>
  <si>
    <t>Non-Distributable</t>
  </si>
  <si>
    <t>Distributable</t>
  </si>
  <si>
    <t>of Warrants</t>
  </si>
  <si>
    <t>Right Issue</t>
  </si>
  <si>
    <t>Right Issue of Warrants recognised</t>
  </si>
  <si>
    <t>Proceeds from Right Issue of Warrants</t>
  </si>
  <si>
    <t>31/12/2006</t>
  </si>
  <si>
    <t>the year ended 31 December 2006 and the accompanying explanatory notes attached to the interim financial statements.</t>
  </si>
  <si>
    <t>Investment in subsidiary</t>
  </si>
  <si>
    <t>Balance as at 1st January 2007</t>
  </si>
  <si>
    <t xml:space="preserve">The condensed Consolidated Statements of Changes in Equity should be read in conjunction with the audited financial statements for the year ended 31 December 2006 and the accompanying </t>
  </si>
  <si>
    <t>Proceeds from the issuance of warrants</t>
  </si>
  <si>
    <t>Drawdown of term loan</t>
  </si>
  <si>
    <t>31/12/2007</t>
  </si>
  <si>
    <t>AS AT 31 DECEMBER 2007</t>
  </si>
  <si>
    <t>Allowance for doubtful debts</t>
  </si>
  <si>
    <t>Write back of allowance for diminution in value on other investment</t>
  </si>
  <si>
    <t>Provision for liquidated and ascertained damages</t>
  </si>
  <si>
    <t>Net proceeds from disposal of investment in associated company</t>
  </si>
  <si>
    <t>Balance as at 31 December 2007</t>
  </si>
  <si>
    <t>Balance as at 31 December 2006</t>
  </si>
  <si>
    <t>Amortization of goodwill</t>
  </si>
  <si>
    <t>Proceeds from the issuance of ESOS</t>
  </si>
  <si>
    <t xml:space="preserve">CONDENSED CONSOLIDATED INCOME STATEMENTS </t>
  </si>
  <si>
    <t>FOR THE YEAR ENDED 31 DECEMBER 2007</t>
  </si>
  <si>
    <t xml:space="preserve">QUARTERLY REPORT ON CONSOLIDATED RESULTS FOR THE FOURTH QUARTER </t>
  </si>
  <si>
    <t>ENDED 31 DECEMBER 2007</t>
  </si>
  <si>
    <t>The figures have not been audited</t>
  </si>
  <si>
    <t>to equity holders of the parent(sen)</t>
  </si>
  <si>
    <t>CONDENSED CONSOLIDATED BALANCE SHEET</t>
  </si>
  <si>
    <t>NON CURRENT ASSETS</t>
  </si>
  <si>
    <t>Investments</t>
  </si>
  <si>
    <t>Property, plant and equipment</t>
  </si>
  <si>
    <t>Goodwill on consolidation</t>
  </si>
  <si>
    <t>Deferred tax assets</t>
  </si>
  <si>
    <t xml:space="preserve">Due from contract customers </t>
  </si>
  <si>
    <t>Trade and other receivables</t>
  </si>
  <si>
    <t>NET CURRENT LIABILITIES</t>
  </si>
  <si>
    <t>Hire purchase creditors</t>
  </si>
  <si>
    <t>Long term borrowings</t>
  </si>
  <si>
    <t>Deferred tax liabilities</t>
  </si>
  <si>
    <t>CONDENSED CONSOLIDATED CASH FLOW STATEMENT</t>
  </si>
  <si>
    <t>Adjustments for :-</t>
  </si>
  <si>
    <t>Net Cash Flow Used In Operations</t>
  </si>
  <si>
    <t>Net Cash Flow Used in Operating Activities</t>
  </si>
  <si>
    <t>Net repayment of bank borrowings</t>
  </si>
  <si>
    <t>Decrease in fixed deposits pledged</t>
  </si>
  <si>
    <t xml:space="preserve">CONDENSED CONSOLIDATED STATEMENT OF CHANGES IN EQUITY </t>
  </si>
  <si>
    <t>Current Year</t>
  </si>
  <si>
    <t>Net profit for the year</t>
  </si>
  <si>
    <t>Preceding Year</t>
  </si>
  <si>
    <t>Provision for taxation</t>
  </si>
  <si>
    <t>Net Cash Generated From Financing Activities</t>
  </si>
  <si>
    <t>Net Cash Generated From Investing Activities</t>
  </si>
  <si>
    <t xml:space="preserve">(Increase)/Decrease In Working Capital </t>
  </si>
  <si>
    <t>Property development costs</t>
  </si>
  <si>
    <t>Gain on disposal of associated company</t>
  </si>
  <si>
    <t>Cost of sales</t>
  </si>
  <si>
    <t>Gross profit</t>
  </si>
  <si>
    <t>Other operating income</t>
  </si>
  <si>
    <t>Profit from operations</t>
  </si>
  <si>
    <t>Finance costs</t>
  </si>
  <si>
    <t>Net profit for the period</t>
  </si>
  <si>
    <t>Deposits, cash &amp; bank balances</t>
  </si>
  <si>
    <t>Bank borrowings</t>
  </si>
  <si>
    <t>Minority interest</t>
  </si>
  <si>
    <t>Share premium</t>
  </si>
  <si>
    <t>Retained profit</t>
  </si>
  <si>
    <t>Shareholders' equity</t>
  </si>
  <si>
    <t>Rights issue of warrants</t>
  </si>
  <si>
    <t>Interest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</si>
</sst>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_-;\-* #,##0_-;_-* &quot;-&quot;??_-;_-@_-"/>
    <numFmt numFmtId="184" formatCode="_(* #,##0.0_);_(* \(#,##0.0\);_(* &quot;-&quot;?_);_(@_)"/>
    <numFmt numFmtId="185" formatCode="_-* #,##0.0_-;\-* #,##0.0_-;_-* &quot;-&quot;?_-;_-@_-"/>
    <numFmt numFmtId="186" formatCode="_(* #,##0.0000_);_(* \(#,##0.0000\);_(* &quot;-&quot;??_);_(@_)"/>
  </numFmts>
  <fonts count="13">
    <font>
      <sz val="10"/>
      <name val="Arial"/>
      <family val="0"/>
    </font>
    <font>
      <b/>
      <sz val="10"/>
      <name val="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 shrinkToFit="1"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15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73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0" fontId="3" fillId="0" borderId="0" xfId="0" applyFont="1" applyAlignment="1">
      <alignment/>
    </xf>
    <xf numFmtId="173" fontId="1" fillId="0" borderId="2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right"/>
    </xf>
    <xf numFmtId="0" fontId="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3" fontId="0" fillId="0" borderId="0" xfId="21" applyNumberFormat="1" applyFont="1">
      <alignment/>
      <protection/>
    </xf>
    <xf numFmtId="173" fontId="0" fillId="0" borderId="3" xfId="21" applyNumberFormat="1" applyFont="1" applyBorder="1">
      <alignment/>
      <protection/>
    </xf>
    <xf numFmtId="173" fontId="0" fillId="0" borderId="0" xfId="21" applyNumberFormat="1" applyFont="1" applyBorder="1">
      <alignment/>
      <protection/>
    </xf>
    <xf numFmtId="173" fontId="1" fillId="0" borderId="4" xfId="21" applyNumberFormat="1" applyFont="1" applyBorder="1">
      <alignment/>
      <protection/>
    </xf>
    <xf numFmtId="173" fontId="1" fillId="0" borderId="0" xfId="21" applyNumberFormat="1" applyFont="1">
      <alignment/>
      <protection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Fill="1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173" fontId="0" fillId="0" borderId="3" xfId="15" applyNumberFormat="1" applyFont="1" applyFill="1" applyBorder="1" applyAlignment="1">
      <alignment/>
    </xf>
    <xf numFmtId="0" fontId="0" fillId="0" borderId="0" xfId="0" applyFont="1" applyAlignment="1">
      <alignment wrapText="1" shrinkToFit="1"/>
    </xf>
    <xf numFmtId="0" fontId="2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1" fillId="0" borderId="0" xfId="21" applyNumberFormat="1" applyFont="1" applyBorder="1">
      <alignment/>
      <protection/>
    </xf>
    <xf numFmtId="171" fontId="0" fillId="0" borderId="0" xfId="15" applyNumberFormat="1" applyFont="1" applyFill="1" applyBorder="1" applyAlignment="1">
      <alignment horizontal="right"/>
    </xf>
    <xf numFmtId="169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Fill="1" applyBorder="1" applyAlignment="1">
      <alignment/>
    </xf>
    <xf numFmtId="173" fontId="0" fillId="0" borderId="5" xfId="0" applyNumberFormat="1" applyFont="1" applyBorder="1" applyAlignment="1">
      <alignment/>
    </xf>
    <xf numFmtId="173" fontId="0" fillId="0" borderId="5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Fill="1" applyAlignment="1">
      <alignment/>
    </xf>
    <xf numFmtId="173" fontId="0" fillId="0" borderId="0" xfId="0" applyNumberFormat="1" applyFont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0" fillId="2" borderId="0" xfId="0" applyFont="1" applyFill="1" applyAlignment="1">
      <alignment/>
    </xf>
    <xf numFmtId="171" fontId="0" fillId="2" borderId="3" xfId="0" applyNumberFormat="1" applyFont="1" applyFill="1" applyBorder="1" applyAlignment="1">
      <alignment/>
    </xf>
    <xf numFmtId="173" fontId="0" fillId="2" borderId="3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9" fillId="0" borderId="0" xfId="15" applyNumberFormat="1" applyFont="1" applyBorder="1" applyAlignment="1">
      <alignment/>
    </xf>
    <xf numFmtId="173" fontId="0" fillId="0" borderId="3" xfId="21" applyNumberFormat="1" applyFont="1" applyFill="1" applyBorder="1">
      <alignment/>
      <protection/>
    </xf>
    <xf numFmtId="173" fontId="1" fillId="0" borderId="4" xfId="21" applyNumberFormat="1" applyFont="1" applyFill="1" applyBorder="1">
      <alignment/>
      <protection/>
    </xf>
    <xf numFmtId="0" fontId="1" fillId="0" borderId="1" xfId="0" applyFont="1" applyBorder="1" applyAlignment="1">
      <alignment horizontal="center"/>
    </xf>
    <xf numFmtId="171" fontId="0" fillId="0" borderId="0" xfId="15" applyFont="1" applyAlignment="1">
      <alignment/>
    </xf>
    <xf numFmtId="14" fontId="1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21" applyFont="1">
      <alignment/>
      <protection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02MPBCons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WINDOWS\TEMP\Consol%20March%202005%20-%20Q1%20Tax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i\2006\Documents%20and%20Settings\admin\My%20Documents\MPB\Master%20Consol%202005\cash%20flow-September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S%20&amp;%20DOCUMENTS\ACCOUNTS\KLSE%20Announcement\2007\Q2%202007\Cash%20Flow%2030.06.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S%20&amp;%20DOCUMENTS\ACCOUNTS\KLSE%20Announcement\2007\Q3%202007\Cash%20Flow%2030.09.2007%202nd%20draf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31.12.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Dec2007%20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%2031.12.07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p&amp;l line-up Q4 04"/>
      <sheetName val="p&amp;l line-up Q3 04"/>
      <sheetName val="Income State (1)"/>
      <sheetName val="Sheet1"/>
      <sheetName val="Sheet2"/>
      <sheetName val="Project (3)"/>
      <sheetName val="Detail IS"/>
      <sheetName val="Detail BS"/>
      <sheetName val="Opex &amp; Finance (4)"/>
      <sheetName val="P&amp;L 31032005 (2)"/>
      <sheetName val="Interco"/>
      <sheetName val="p&amp;l notes"/>
      <sheetName val="segmental"/>
      <sheetName val="bs line-up"/>
      <sheetName val="Consol adj"/>
      <sheetName val="current-p&amp;l"/>
      <sheetName val="current-bs"/>
      <sheetName val="Consol Jurnal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co-p&amp;l"/>
      <sheetName val="co-bs"/>
      <sheetName val="mpk(s)-p&amp;l"/>
      <sheetName val="mpk(s)-bs"/>
      <sheetName val="ph-p&amp;l"/>
      <sheetName val="ph-bs "/>
      <sheetName val="mpkG-p&amp;l"/>
      <sheetName val="mpkG-bs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34">
          <cell r="U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Sheet1"/>
      <sheetName val="Sheet2"/>
      <sheetName val="Sheet3"/>
    </sheetNames>
    <sheetDataSet>
      <sheetData sheetId="0">
        <row r="26">
          <cell r="T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1">
        <row r="57">
          <cell r="I57">
            <v>0</v>
          </cell>
        </row>
        <row r="61">
          <cell r="I6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1">
        <row r="48">
          <cell r="I48">
            <v>0</v>
          </cell>
        </row>
        <row r="59">
          <cell r="I5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up-working"/>
      <sheetName val="MPB-QR "/>
      <sheetName val="group"/>
      <sheetName val="MPB-QR"/>
    </sheetNames>
    <sheetDataSet>
      <sheetData sheetId="1">
        <row r="77">
          <cell r="I77">
            <v>8555.66809</v>
          </cell>
        </row>
        <row r="79">
          <cell r="I79">
            <v>-1674.00601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F Q 1 2004"/>
      <sheetName val="bs-summary"/>
      <sheetName val="Possible adjms"/>
      <sheetName val="Field note"/>
      <sheetName val="bs notes"/>
      <sheetName val="pl-summary"/>
      <sheetName val="Income State (1)"/>
      <sheetName val="Sheet1"/>
      <sheetName val="Sheet2"/>
      <sheetName val="Project (3)"/>
      <sheetName val="Detail IS"/>
      <sheetName val="Detail BS04vs03"/>
      <sheetName val="Opex &amp; Finance (4)"/>
      <sheetName val="P&amp;L QTR 4"/>
      <sheetName val="p&amp;l notes"/>
      <sheetName val="P&amp;L Q4"/>
      <sheetName val="current-p&amp;l"/>
      <sheetName val="current-bs"/>
      <sheetName val="P &amp; L segmental qtr 4"/>
      <sheetName val="Consol adj"/>
      <sheetName val="P&amp;L 31122007"/>
      <sheetName val="BS line-up"/>
      <sheetName val="Consol Jurnal"/>
      <sheetName val="AJE"/>
      <sheetName val="P&amp;L311207segmental"/>
      <sheetName val="BS segmental"/>
      <sheetName val="Group audit consol adj"/>
      <sheetName val="mpb-p&amp;l"/>
      <sheetName val="mpb-bs"/>
      <sheetName val="de-p&amp;l"/>
      <sheetName val="de-bs"/>
      <sheetName val="mpk(m)-p&amp;l"/>
      <sheetName val="mpk(m)-bs"/>
      <sheetName val="mpk-p&amp;l"/>
      <sheetName val="mpk-bs"/>
      <sheetName val="mr-p&amp;l"/>
      <sheetName val="mr-bs"/>
      <sheetName val="mpc-p&amp;l"/>
      <sheetName val="mpc-bs"/>
      <sheetName val="mqs-p&amp;l"/>
      <sheetName val="mqs-bs"/>
      <sheetName val="mprima-p&amp;l"/>
      <sheetName val="mprima-bs"/>
      <sheetName val="mpk(s)-p&amp;l"/>
      <sheetName val="mpk(s)-bs"/>
      <sheetName val="ph-p&amp;l"/>
      <sheetName val="ph-bs "/>
      <sheetName val="mpkG-p&amp;l"/>
      <sheetName val="mpkG-bs"/>
      <sheetName val="mpk G consol adj"/>
      <sheetName val="Interco"/>
      <sheetName val="Profit cal"/>
      <sheetName val="gbm-p&amp;l"/>
      <sheetName val="gbm-bs"/>
      <sheetName val="gbm-bs @ 1 Jan 04"/>
      <sheetName val="intco"/>
      <sheetName val="CF workings Q4 04"/>
      <sheetName val="CF Q 2 2004"/>
    </sheetNames>
    <sheetDataSet>
      <sheetData sheetId="15">
        <row r="48">
          <cell r="R48">
            <v>13031798.563974809</v>
          </cell>
        </row>
      </sheetData>
      <sheetData sheetId="20">
        <row r="14">
          <cell r="R14">
            <v>344438784.36</v>
          </cell>
        </row>
        <row r="19">
          <cell r="R19">
            <v>-294615047.79</v>
          </cell>
        </row>
        <row r="26">
          <cell r="R26">
            <v>558326.44</v>
          </cell>
        </row>
        <row r="27">
          <cell r="R27">
            <v>-953927.13</v>
          </cell>
        </row>
        <row r="28">
          <cell r="R28">
            <v>-46207</v>
          </cell>
        </row>
        <row r="29">
          <cell r="R29">
            <v>0</v>
          </cell>
        </row>
        <row r="30">
          <cell r="R30">
            <v>-9772399.749999998</v>
          </cell>
        </row>
        <row r="31">
          <cell r="R31">
            <v>-1635137.12</v>
          </cell>
        </row>
        <row r="32">
          <cell r="R32">
            <v>-125053</v>
          </cell>
        </row>
        <row r="38">
          <cell r="R38">
            <v>-214917.73</v>
          </cell>
        </row>
        <row r="43">
          <cell r="R43">
            <v>-10764626.482800005</v>
          </cell>
        </row>
        <row r="46">
          <cell r="R46">
            <v>-288997.15664388007</v>
          </cell>
        </row>
        <row r="48">
          <cell r="R48">
            <v>26580797.64055611</v>
          </cell>
        </row>
      </sheetData>
      <sheetData sheetId="21">
        <row r="9">
          <cell r="R9">
            <v>51621896</v>
          </cell>
        </row>
        <row r="10">
          <cell r="R10">
            <v>9418758.73</v>
          </cell>
        </row>
        <row r="11">
          <cell r="R11">
            <v>7019651.7</v>
          </cell>
        </row>
        <row r="12">
          <cell r="R12">
            <v>29994</v>
          </cell>
        </row>
        <row r="13">
          <cell r="R13">
            <v>20515721.154556155</v>
          </cell>
        </row>
        <row r="16">
          <cell r="R16">
            <v>2457113.4226438804</v>
          </cell>
        </row>
        <row r="19">
          <cell r="R19">
            <v>73499.29</v>
          </cell>
        </row>
        <row r="20">
          <cell r="R20">
            <v>776163.44</v>
          </cell>
        </row>
        <row r="21">
          <cell r="R21">
            <v>51581434.379999995</v>
          </cell>
        </row>
        <row r="29">
          <cell r="R29">
            <v>4073752.1499999985</v>
          </cell>
        </row>
        <row r="32">
          <cell r="R32">
            <v>6039000</v>
          </cell>
        </row>
        <row r="34">
          <cell r="R34">
            <v>0</v>
          </cell>
        </row>
        <row r="35">
          <cell r="R35">
            <v>690000</v>
          </cell>
        </row>
        <row r="37">
          <cell r="R37">
            <v>0</v>
          </cell>
        </row>
        <row r="40">
          <cell r="R40">
            <v>79135929.41</v>
          </cell>
        </row>
        <row r="41">
          <cell r="R41">
            <v>40365498</v>
          </cell>
        </row>
        <row r="42">
          <cell r="R42">
            <v>2006800.97</v>
          </cell>
        </row>
        <row r="43">
          <cell r="R43">
            <v>66293087.870000005</v>
          </cell>
        </row>
        <row r="44">
          <cell r="R44">
            <v>12665349.620000001</v>
          </cell>
        </row>
        <row r="49">
          <cell r="R49">
            <v>0</v>
          </cell>
        </row>
        <row r="50">
          <cell r="R50">
            <v>28491888.419999998</v>
          </cell>
        </row>
        <row r="53">
          <cell r="R53">
            <v>-102217906.15</v>
          </cell>
        </row>
        <row r="56">
          <cell r="R56">
            <v>30430754.29</v>
          </cell>
        </row>
        <row r="58">
          <cell r="R58">
            <v>108673728.43</v>
          </cell>
        </row>
        <row r="59">
          <cell r="R59">
            <v>6217806.869999982</v>
          </cell>
        </row>
        <row r="60">
          <cell r="R60">
            <v>0</v>
          </cell>
        </row>
        <row r="61">
          <cell r="R61">
            <v>25000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697037.67</v>
          </cell>
        </row>
        <row r="66">
          <cell r="R66">
            <v>1674006.01</v>
          </cell>
        </row>
        <row r="67">
          <cell r="R67">
            <v>23671202.759999998</v>
          </cell>
        </row>
        <row r="68">
          <cell r="R68">
            <v>27095444.652800005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J3">
            <v>37634</v>
          </cell>
          <cell r="M3">
            <v>953</v>
          </cell>
          <cell r="R3">
            <v>46</v>
          </cell>
          <cell r="S3">
            <v>-106</v>
          </cell>
          <cell r="Y3">
            <v>0</v>
          </cell>
          <cell r="AJ3">
            <v>215</v>
          </cell>
          <cell r="AK3">
            <v>-70</v>
          </cell>
          <cell r="AN3">
            <v>-91676</v>
          </cell>
          <cell r="AQ3">
            <v>18691</v>
          </cell>
          <cell r="AR3">
            <v>-29901</v>
          </cell>
          <cell r="AS3">
            <v>48442</v>
          </cell>
          <cell r="AX3">
            <v>-657</v>
          </cell>
          <cell r="BD3">
            <v>-602</v>
          </cell>
          <cell r="BE3">
            <v>1509</v>
          </cell>
          <cell r="BI3">
            <v>176</v>
          </cell>
          <cell r="BK3">
            <v>-8666.775000000001</v>
          </cell>
          <cell r="BL3">
            <v>49500</v>
          </cell>
          <cell r="BN3">
            <v>-281.14300000000003</v>
          </cell>
        </row>
        <row r="31">
          <cell r="E31">
            <v>28492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75" zoomScaleSheetLayoutView="75" workbookViewId="0" topLeftCell="A29">
      <selection activeCell="D50" sqref="D50"/>
    </sheetView>
  </sheetViews>
  <sheetFormatPr defaultColWidth="9.140625" defaultRowHeight="12.75"/>
  <cols>
    <col min="1" max="1" width="28.8515625" style="3" customWidth="1"/>
    <col min="2" max="2" width="17.421875" style="3" customWidth="1"/>
    <col min="3" max="3" width="1.7109375" style="12" customWidth="1"/>
    <col min="4" max="4" width="16.7109375" style="3" customWidth="1"/>
    <col min="5" max="5" width="1.7109375" style="12" customWidth="1"/>
    <col min="6" max="6" width="16.57421875" style="3" customWidth="1"/>
    <col min="7" max="7" width="1.7109375" style="12" customWidth="1"/>
    <col min="8" max="8" width="18.00390625" style="3" customWidth="1"/>
    <col min="9" max="16384" width="9.140625" style="3" customWidth="1"/>
  </cols>
  <sheetData>
    <row r="1" spans="1:7" s="2" customFormat="1" ht="15.75">
      <c r="A1" s="2" t="s">
        <v>6</v>
      </c>
      <c r="C1" s="16"/>
      <c r="E1" s="16"/>
      <c r="G1" s="16"/>
    </row>
    <row r="2" spans="3:7" s="2" customFormat="1" ht="15.75">
      <c r="C2" s="16"/>
      <c r="E2" s="16"/>
      <c r="G2" s="16"/>
    </row>
    <row r="3" spans="1:7" s="2" customFormat="1" ht="15.75">
      <c r="A3" s="2" t="s">
        <v>114</v>
      </c>
      <c r="C3" s="16"/>
      <c r="E3" s="16"/>
      <c r="G3" s="16"/>
    </row>
    <row r="4" spans="1:7" s="2" customFormat="1" ht="15.75">
      <c r="A4" s="2" t="s">
        <v>115</v>
      </c>
      <c r="C4" s="16"/>
      <c r="E4" s="16"/>
      <c r="G4" s="16"/>
    </row>
    <row r="5" spans="1:7" s="2" customFormat="1" ht="15.75">
      <c r="A5" s="70" t="s">
        <v>116</v>
      </c>
      <c r="C5" s="16"/>
      <c r="E5" s="16"/>
      <c r="G5" s="16"/>
    </row>
    <row r="6" spans="3:7" s="2" customFormat="1" ht="15.75">
      <c r="C6" s="16"/>
      <c r="E6" s="16"/>
      <c r="G6" s="16"/>
    </row>
    <row r="7" spans="1:7" s="2" customFormat="1" ht="15.75">
      <c r="A7" s="2" t="s">
        <v>112</v>
      </c>
      <c r="C7" s="16"/>
      <c r="E7" s="16"/>
      <c r="G7" s="16"/>
    </row>
    <row r="8" spans="1:7" s="2" customFormat="1" ht="15.75">
      <c r="A8" s="2" t="s">
        <v>113</v>
      </c>
      <c r="C8" s="16"/>
      <c r="E8" s="16"/>
      <c r="G8" s="16"/>
    </row>
    <row r="11" spans="2:8" s="7" customFormat="1" ht="12.75">
      <c r="B11" s="8">
        <v>2007</v>
      </c>
      <c r="C11" s="8"/>
      <c r="D11" s="8">
        <v>2006</v>
      </c>
      <c r="E11" s="8"/>
      <c r="F11" s="8">
        <v>2007</v>
      </c>
      <c r="G11" s="8"/>
      <c r="H11" s="8">
        <v>2006</v>
      </c>
    </row>
    <row r="12" spans="2:8" s="9" customFormat="1" ht="12">
      <c r="B12" s="17" t="s">
        <v>1</v>
      </c>
      <c r="C12" s="17"/>
      <c r="D12" s="17" t="s">
        <v>2</v>
      </c>
      <c r="E12" s="17"/>
      <c r="F12" s="17" t="s">
        <v>1</v>
      </c>
      <c r="G12" s="17"/>
      <c r="H12" s="17" t="s">
        <v>2</v>
      </c>
    </row>
    <row r="13" spans="2:8" s="9" customFormat="1" ht="12">
      <c r="B13" s="17" t="s">
        <v>3</v>
      </c>
      <c r="C13" s="17"/>
      <c r="D13" s="17" t="s">
        <v>4</v>
      </c>
      <c r="E13" s="17"/>
      <c r="F13" s="17"/>
      <c r="G13" s="17"/>
      <c r="H13" s="17"/>
    </row>
    <row r="14" spans="2:8" s="9" customFormat="1" ht="12">
      <c r="B14" s="17"/>
      <c r="C14" s="17"/>
      <c r="D14" s="17" t="s">
        <v>3</v>
      </c>
      <c r="E14" s="17"/>
      <c r="F14" s="17"/>
      <c r="G14" s="17"/>
      <c r="H14" s="17"/>
    </row>
    <row r="15" spans="2:8" s="9" customFormat="1" ht="12">
      <c r="B15" s="17"/>
      <c r="C15" s="17"/>
      <c r="D15" s="17"/>
      <c r="E15" s="17"/>
      <c r="F15" s="17"/>
      <c r="G15" s="17"/>
      <c r="H15" s="17"/>
    </row>
    <row r="16" spans="2:8" s="9" customFormat="1" ht="12">
      <c r="B16" s="68" t="s">
        <v>102</v>
      </c>
      <c r="C16" s="18"/>
      <c r="D16" s="68" t="s">
        <v>95</v>
      </c>
      <c r="E16" s="18"/>
      <c r="F16" s="68" t="str">
        <f>+B16</f>
        <v>31/12/2007</v>
      </c>
      <c r="G16" s="18"/>
      <c r="H16" s="68" t="str">
        <f>+D16</f>
        <v>31/12/2006</v>
      </c>
    </row>
    <row r="17" spans="2:8" s="9" customFormat="1" ht="12">
      <c r="B17" s="69" t="s">
        <v>29</v>
      </c>
      <c r="C17" s="17"/>
      <c r="D17" s="69" t="s">
        <v>29</v>
      </c>
      <c r="E17" s="17"/>
      <c r="F17" s="69" t="s">
        <v>29</v>
      </c>
      <c r="G17" s="17"/>
      <c r="H17" s="69" t="s">
        <v>29</v>
      </c>
    </row>
    <row r="18" s="9" customFormat="1" ht="12"/>
    <row r="19" spans="1:8" s="12" customFormat="1" ht="12.75">
      <c r="A19" s="10" t="s">
        <v>5</v>
      </c>
      <c r="B19" s="11">
        <f>+F19-175491</f>
        <v>168948</v>
      </c>
      <c r="C19" s="11"/>
      <c r="D19" s="11">
        <f>+H19-5665</f>
        <v>75144.442</v>
      </c>
      <c r="E19" s="11"/>
      <c r="F19" s="11">
        <f>ROUND(+'[6]P&amp;L 31122007'!$R$14/1000,0)</f>
        <v>344439</v>
      </c>
      <c r="G19" s="11"/>
      <c r="H19" s="11">
        <f>80809442/1000</f>
        <v>80809.442</v>
      </c>
    </row>
    <row r="20" spans="1:8" s="12" customFormat="1" ht="12.75">
      <c r="A20" s="10"/>
      <c r="B20" s="11"/>
      <c r="C20" s="11"/>
      <c r="D20" s="11"/>
      <c r="E20" s="11"/>
      <c r="F20" s="11"/>
      <c r="G20" s="11"/>
      <c r="H20" s="11"/>
    </row>
    <row r="21" spans="1:8" s="12" customFormat="1" ht="12.75">
      <c r="A21" s="10" t="s">
        <v>146</v>
      </c>
      <c r="B21" s="24">
        <f>+F21+147030</f>
        <v>-147585</v>
      </c>
      <c r="C21" s="11"/>
      <c r="D21" s="39">
        <f>+H21+4948</f>
        <v>-59754.392</v>
      </c>
      <c r="E21" s="11"/>
      <c r="F21" s="24">
        <f>ROUND(+'[6]P&amp;L 31122007'!$R$19/1000,0)</f>
        <v>-294615</v>
      </c>
      <c r="G21" s="11"/>
      <c r="H21" s="24">
        <f>-64702392/1000</f>
        <v>-64702.392</v>
      </c>
    </row>
    <row r="22" spans="1:8" s="12" customFormat="1" ht="12.75">
      <c r="A22" s="10"/>
      <c r="B22" s="11"/>
      <c r="C22" s="11"/>
      <c r="D22" s="11"/>
      <c r="E22" s="11"/>
      <c r="F22" s="11"/>
      <c r="G22" s="11"/>
      <c r="H22" s="11"/>
    </row>
    <row r="23" spans="1:8" s="12" customFormat="1" ht="12.75">
      <c r="A23" s="10" t="s">
        <v>147</v>
      </c>
      <c r="B23" s="11">
        <f>SUM(B18:B22)</f>
        <v>21363</v>
      </c>
      <c r="C23" s="11"/>
      <c r="D23" s="11">
        <f>SUM(D18:D22)</f>
        <v>15390.049999999996</v>
      </c>
      <c r="E23" s="11">
        <f>SUM(E18:E22)</f>
        <v>0</v>
      </c>
      <c r="F23" s="11">
        <f>SUM(F18:F22)</f>
        <v>49824</v>
      </c>
      <c r="G23" s="11"/>
      <c r="H23" s="11">
        <f>SUM(H18:H22)</f>
        <v>16107.049999999996</v>
      </c>
    </row>
    <row r="24" spans="1:8" s="12" customFormat="1" ht="12.75">
      <c r="A24" s="10"/>
      <c r="B24" s="11"/>
      <c r="C24" s="11"/>
      <c r="D24" s="11"/>
      <c r="E24" s="11"/>
      <c r="F24" s="11"/>
      <c r="G24" s="11"/>
      <c r="H24" s="11"/>
    </row>
    <row r="25" spans="1:8" s="12" customFormat="1" ht="12.75">
      <c r="A25" s="10" t="s">
        <v>148</v>
      </c>
      <c r="B25" s="24">
        <f>+F25-310</f>
        <v>248</v>
      </c>
      <c r="C25" s="11"/>
      <c r="D25" s="24">
        <f>+H25-153</f>
        <v>3924.152</v>
      </c>
      <c r="E25" s="11"/>
      <c r="F25" s="24">
        <f>ROUND(+'[6]P&amp;L 31122007'!$R$26/1000,0)</f>
        <v>558</v>
      </c>
      <c r="G25" s="11"/>
      <c r="H25" s="24">
        <f>4077152/1000</f>
        <v>4077.152</v>
      </c>
    </row>
    <row r="26" spans="1:8" s="12" customFormat="1" ht="12.75">
      <c r="A26" s="10"/>
      <c r="B26" s="11">
        <f>SUM(B23:B25)</f>
        <v>21611</v>
      </c>
      <c r="C26" s="11"/>
      <c r="D26" s="11">
        <f>SUM(D23:D25)</f>
        <v>19314.201999999997</v>
      </c>
      <c r="E26" s="11"/>
      <c r="F26" s="11">
        <f>SUM(F23:F25)</f>
        <v>50382</v>
      </c>
      <c r="G26" s="11"/>
      <c r="H26" s="11">
        <f>SUM(H23:H25)</f>
        <v>20184.201999999997</v>
      </c>
    </row>
    <row r="27" spans="1:8" s="12" customFormat="1" ht="12.75">
      <c r="A27" s="10"/>
      <c r="B27" s="11"/>
      <c r="C27" s="11"/>
      <c r="D27" s="11"/>
      <c r="E27" s="11"/>
      <c r="F27" s="11"/>
      <c r="G27" s="11"/>
      <c r="H27" s="11"/>
    </row>
    <row r="28" spans="1:8" s="12" customFormat="1" ht="12.75">
      <c r="A28" s="10" t="s">
        <v>30</v>
      </c>
      <c r="B28" s="24">
        <f>+F28+8560</f>
        <v>-3973</v>
      </c>
      <c r="C28" s="11"/>
      <c r="D28" s="39">
        <f>+H28+3664</f>
        <v>-11975.193</v>
      </c>
      <c r="E28" s="11"/>
      <c r="F28" s="24">
        <f>ROUND(+SUM('[6]P&amp;L 31122007'!$R$27:$R$32)/1000,0)</f>
        <v>-12533</v>
      </c>
      <c r="G28" s="11"/>
      <c r="H28" s="24">
        <f>+(-77332-15204362-357499)/1000</f>
        <v>-15639.193</v>
      </c>
    </row>
    <row r="29" spans="1:14" s="12" customFormat="1" ht="12.75" customHeight="1">
      <c r="A29" s="10" t="s">
        <v>149</v>
      </c>
      <c r="B29" s="13">
        <f>SUM(B26:B28)</f>
        <v>17638</v>
      </c>
      <c r="C29" s="13"/>
      <c r="D29" s="13">
        <f>SUM(D26:D28)</f>
        <v>7339.008999999998</v>
      </c>
      <c r="E29" s="13">
        <f>SUM(E23:E28)</f>
        <v>0</v>
      </c>
      <c r="F29" s="13">
        <f>SUM(F26:F28)</f>
        <v>37849</v>
      </c>
      <c r="G29" s="13"/>
      <c r="H29" s="13">
        <f>SUM(H26:H28)</f>
        <v>4545.008999999998</v>
      </c>
      <c r="I29" s="14"/>
      <c r="K29" s="14"/>
      <c r="L29" s="14"/>
      <c r="M29" s="14"/>
      <c r="N29" s="14"/>
    </row>
    <row r="30" spans="1:8" s="12" customFormat="1" ht="12.75">
      <c r="A30" s="10"/>
      <c r="B30" s="11"/>
      <c r="C30" s="11"/>
      <c r="D30" s="11"/>
      <c r="E30" s="11"/>
      <c r="F30" s="11"/>
      <c r="G30" s="11"/>
      <c r="H30" s="11"/>
    </row>
    <row r="31" spans="1:8" s="12" customFormat="1" ht="12.75">
      <c r="A31" s="10" t="s">
        <v>150</v>
      </c>
      <c r="B31" s="24">
        <f>+F31+170</f>
        <v>-45</v>
      </c>
      <c r="C31" s="11"/>
      <c r="D31" s="24">
        <f>+H31+201</f>
        <v>-748.091</v>
      </c>
      <c r="E31" s="11"/>
      <c r="F31" s="24">
        <f>ROUND(+'[6]P&amp;L 31122007'!$R$38/1000,0)</f>
        <v>-215</v>
      </c>
      <c r="G31" s="11"/>
      <c r="H31" s="24">
        <f>-949091/1000</f>
        <v>-949.091</v>
      </c>
    </row>
    <row r="32" spans="1:8" s="12" customFormat="1" ht="12.75">
      <c r="A32" s="10"/>
      <c r="B32" s="11"/>
      <c r="C32" s="11"/>
      <c r="D32" s="11"/>
      <c r="E32" s="11"/>
      <c r="F32" s="11"/>
      <c r="G32" s="11"/>
      <c r="H32" s="11"/>
    </row>
    <row r="33" spans="1:8" s="12" customFormat="1" ht="25.5" hidden="1">
      <c r="A33" s="10" t="s">
        <v>17</v>
      </c>
      <c r="B33" s="24">
        <f>F33</f>
        <v>0</v>
      </c>
      <c r="C33" s="11"/>
      <c r="D33" s="24">
        <v>0</v>
      </c>
      <c r="E33" s="11"/>
      <c r="F33" s="24">
        <f>'[1]P&amp;L 31032005 (2)'!$U$34/100</f>
        <v>0</v>
      </c>
      <c r="G33" s="11"/>
      <c r="H33" s="24">
        <v>0</v>
      </c>
    </row>
    <row r="34" spans="1:8" s="12" customFormat="1" ht="12.75" hidden="1">
      <c r="A34" s="10"/>
      <c r="B34" s="11"/>
      <c r="C34" s="11"/>
      <c r="D34" s="11"/>
      <c r="E34" s="11"/>
      <c r="F34" s="11"/>
      <c r="G34" s="11"/>
      <c r="H34" s="11"/>
    </row>
    <row r="35" spans="1:8" s="12" customFormat="1" ht="12.75">
      <c r="A35" s="10" t="s">
        <v>67</v>
      </c>
      <c r="B35" s="11">
        <f>SUM(B29:B33)</f>
        <v>17593</v>
      </c>
      <c r="C35" s="11"/>
      <c r="D35" s="11">
        <f>SUM(D29:D33)</f>
        <v>6590.917999999998</v>
      </c>
      <c r="E35" s="11"/>
      <c r="F35" s="11">
        <f>SUM(F29:F33)</f>
        <v>37634</v>
      </c>
      <c r="G35" s="11"/>
      <c r="H35" s="11">
        <f>SUM(H29:H33)</f>
        <v>3595.9179999999983</v>
      </c>
    </row>
    <row r="36" spans="1:8" s="12" customFormat="1" ht="12.75">
      <c r="A36" s="10"/>
      <c r="B36" s="11"/>
      <c r="C36" s="11"/>
      <c r="D36" s="11"/>
      <c r="E36" s="11"/>
      <c r="F36" s="11"/>
      <c r="G36" s="11"/>
      <c r="H36" s="11"/>
    </row>
    <row r="37" spans="1:8" s="12" customFormat="1" ht="12.75">
      <c r="A37" s="10" t="s">
        <v>16</v>
      </c>
      <c r="B37" s="24">
        <f>+F37+5249</f>
        <v>-5515</v>
      </c>
      <c r="C37" s="11"/>
      <c r="D37" s="24">
        <f>+H37+0</f>
        <v>-3502.69</v>
      </c>
      <c r="E37" s="11"/>
      <c r="F37" s="24">
        <f>ROUND(+'[6]P&amp;L 31122007'!$R$43/1000,0)+1</f>
        <v>-10764</v>
      </c>
      <c r="G37" s="11"/>
      <c r="H37" s="24">
        <f>-3502690/1000</f>
        <v>-3502.69</v>
      </c>
    </row>
    <row r="38" spans="1:8" s="12" customFormat="1" ht="12.75">
      <c r="A38" s="10"/>
      <c r="B38" s="11"/>
      <c r="C38" s="11"/>
      <c r="D38" s="11"/>
      <c r="E38" s="11"/>
      <c r="F38" s="11"/>
      <c r="G38" s="11"/>
      <c r="H38" s="11"/>
    </row>
    <row r="39" spans="1:8" s="12" customFormat="1" ht="13.5" thickBot="1">
      <c r="A39" s="10" t="s">
        <v>151</v>
      </c>
      <c r="B39" s="60">
        <f>SUM(B35:B38)</f>
        <v>12078</v>
      </c>
      <c r="C39" s="11"/>
      <c r="D39" s="60">
        <f>SUM(D35:D38)</f>
        <v>3088.227999999998</v>
      </c>
      <c r="E39" s="11"/>
      <c r="F39" s="60">
        <f>SUM(F35:F37)</f>
        <v>26870</v>
      </c>
      <c r="G39" s="11"/>
      <c r="H39" s="60">
        <f>SUM(H35:H38)</f>
        <v>93.22799999999825</v>
      </c>
    </row>
    <row r="40" spans="1:8" s="12" customFormat="1" ht="12.75">
      <c r="A40" s="10"/>
      <c r="B40" s="62"/>
      <c r="C40" s="11"/>
      <c r="D40" s="62"/>
      <c r="E40" s="11"/>
      <c r="F40" s="62"/>
      <c r="G40" s="11"/>
      <c r="H40" s="62"/>
    </row>
    <row r="41" spans="1:8" s="12" customFormat="1" ht="12.75">
      <c r="A41" s="10"/>
      <c r="B41" s="11"/>
      <c r="C41" s="11"/>
      <c r="D41" s="11"/>
      <c r="E41" s="11"/>
      <c r="F41" s="11"/>
      <c r="G41" s="11"/>
      <c r="H41" s="11"/>
    </row>
    <row r="42" spans="1:8" s="12" customFormat="1" ht="12.75">
      <c r="A42" s="10" t="s">
        <v>76</v>
      </c>
      <c r="B42" s="11"/>
      <c r="C42" s="11"/>
      <c r="D42" s="11"/>
      <c r="E42" s="11"/>
      <c r="F42" s="11"/>
      <c r="G42" s="11"/>
      <c r="H42" s="11"/>
    </row>
    <row r="43" spans="1:8" s="12" customFormat="1" ht="12.75">
      <c r="A43" s="10" t="s">
        <v>77</v>
      </c>
      <c r="B43" s="11">
        <f>+'[6]P&amp;L Q4'!$R$48/1000</f>
        <v>13031.79856397481</v>
      </c>
      <c r="C43" s="11"/>
      <c r="D43" s="11">
        <f>+H43+2706</f>
        <v>2824.471</v>
      </c>
      <c r="E43" s="11"/>
      <c r="F43" s="11">
        <f>ROUND(+'[6]P&amp;L 31122007'!$R$48/1000,0)</f>
        <v>26581</v>
      </c>
      <c r="G43" s="11"/>
      <c r="H43" s="11">
        <f>118471/1000</f>
        <v>118.471</v>
      </c>
    </row>
    <row r="44" spans="1:8" s="12" customFormat="1" ht="12.75">
      <c r="A44" s="10" t="s">
        <v>154</v>
      </c>
      <c r="B44" s="24">
        <f>+F44-1243</f>
        <v>-954</v>
      </c>
      <c r="C44" s="11"/>
      <c r="D44" s="24">
        <f>+H44+289</f>
        <v>263.758</v>
      </c>
      <c r="E44" s="11"/>
      <c r="F44" s="24">
        <f>ROUND(-'[6]P&amp;L 31122007'!$R$46/1000,0)</f>
        <v>289</v>
      </c>
      <c r="G44" s="11"/>
      <c r="H44" s="24">
        <v>-25.242</v>
      </c>
    </row>
    <row r="45" spans="1:8" s="12" customFormat="1" ht="13.5" thickBot="1">
      <c r="A45" s="10" t="s">
        <v>151</v>
      </c>
      <c r="B45" s="61">
        <f>+B43+B44</f>
        <v>12077.79856397481</v>
      </c>
      <c r="C45" s="11"/>
      <c r="D45" s="50">
        <f>+D43+D44</f>
        <v>3088.229</v>
      </c>
      <c r="E45" s="11"/>
      <c r="F45" s="50">
        <f>+F43+F44</f>
        <v>26870</v>
      </c>
      <c r="G45" s="11"/>
      <c r="H45" s="50">
        <f>+H43+H44</f>
        <v>93.229</v>
      </c>
    </row>
    <row r="46" spans="1:8" s="12" customFormat="1" ht="12.75">
      <c r="A46" s="10"/>
      <c r="B46" s="11"/>
      <c r="C46" s="11"/>
      <c r="D46" s="11"/>
      <c r="E46" s="11"/>
      <c r="F46" s="11"/>
      <c r="G46" s="11"/>
      <c r="H46" s="11"/>
    </row>
    <row r="47" spans="1:8" s="12" customFormat="1" ht="12.75">
      <c r="A47" s="10"/>
      <c r="B47" s="11"/>
      <c r="C47" s="11"/>
      <c r="D47" s="11"/>
      <c r="E47" s="11"/>
      <c r="F47" s="11"/>
      <c r="G47" s="11"/>
      <c r="H47" s="11"/>
    </row>
    <row r="48" spans="1:8" s="12" customFormat="1" ht="12.75" customHeight="1">
      <c r="A48" s="10" t="s">
        <v>82</v>
      </c>
      <c r="B48" s="11"/>
      <c r="C48" s="11"/>
      <c r="D48" s="11"/>
      <c r="E48" s="11"/>
      <c r="F48" s="11"/>
      <c r="G48" s="11"/>
      <c r="H48" s="11"/>
    </row>
    <row r="49" spans="1:8" s="12" customFormat="1" ht="12.75" customHeight="1">
      <c r="A49" s="10" t="s">
        <v>117</v>
      </c>
      <c r="B49" s="11"/>
      <c r="C49" s="11"/>
      <c r="D49" s="11"/>
      <c r="E49" s="11"/>
      <c r="F49" s="11"/>
      <c r="G49" s="11"/>
      <c r="H49" s="11"/>
    </row>
    <row r="50" spans="1:8" s="12" customFormat="1" ht="12.75" customHeight="1">
      <c r="A50" s="10"/>
      <c r="B50" s="11"/>
      <c r="C50" s="11"/>
      <c r="D50" s="11"/>
      <c r="E50" s="11"/>
      <c r="F50" s="11"/>
      <c r="G50" s="11"/>
      <c r="H50" s="11"/>
    </row>
    <row r="51" spans="1:8" s="12" customFormat="1" ht="12.75">
      <c r="A51" s="10" t="s">
        <v>33</v>
      </c>
      <c r="B51" s="46">
        <f>+(B43/51613)*100</f>
        <v>25.24906237570924</v>
      </c>
      <c r="C51" s="46"/>
      <c r="D51" s="46">
        <f>+(D43/47285)*100</f>
        <v>5.973291741567093</v>
      </c>
      <c r="E51" s="46"/>
      <c r="F51" s="46">
        <f>+(F43/51524)*100</f>
        <v>51.58955050073752</v>
      </c>
      <c r="G51" s="26"/>
      <c r="H51" s="26">
        <f>+(H43/47285)*100</f>
        <v>0.25054668499524163</v>
      </c>
    </row>
    <row r="52" spans="1:8" s="12" customFormat="1" ht="12.75">
      <c r="A52" s="10" t="s">
        <v>83</v>
      </c>
      <c r="B52" s="44">
        <f>+(B43/68442)*100</f>
        <v>19.04064545743083</v>
      </c>
      <c r="C52" s="44"/>
      <c r="D52" s="44" t="s">
        <v>85</v>
      </c>
      <c r="E52" s="44"/>
      <c r="F52" s="44">
        <f>+(F43/61923)*100</f>
        <v>42.925891833406006</v>
      </c>
      <c r="G52" s="27"/>
      <c r="H52" s="44" t="s">
        <v>85</v>
      </c>
    </row>
    <row r="53" s="12" customFormat="1" ht="12.75"/>
    <row r="54" s="12" customFormat="1" ht="12.75"/>
    <row r="55" s="12" customFormat="1" ht="12.75">
      <c r="A55" s="12" t="s">
        <v>51</v>
      </c>
    </row>
    <row r="56" s="12" customFormat="1" ht="12.75">
      <c r="A56" s="12" t="s">
        <v>96</v>
      </c>
    </row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</sheetData>
  <printOptions horizontalCentered="1"/>
  <pageMargins left="0.3937007874015748" right="0.2362204724409449" top="0.984251968503937" bottom="0.5905511811023623" header="0.5118110236220472" footer="0.5118110236220472"/>
  <pageSetup horizontalDpi="300" verticalDpi="300" orientation="portrait" paperSize="9" scale="95" r:id="rId1"/>
  <headerFooter alignWithMargins="0">
    <oddHeader>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75" zoomScaleSheetLayoutView="75" workbookViewId="0" topLeftCell="A31">
      <selection activeCell="B48" sqref="B48"/>
    </sheetView>
  </sheetViews>
  <sheetFormatPr defaultColWidth="9.140625" defaultRowHeight="12.75"/>
  <cols>
    <col min="1" max="1" width="7.7109375" style="3" customWidth="1"/>
    <col min="2" max="2" width="48.00390625" style="3" customWidth="1"/>
    <col min="3" max="3" width="19.00390625" style="12" customWidth="1"/>
    <col min="4" max="4" width="1.7109375" style="12" customWidth="1"/>
    <col min="5" max="5" width="19.7109375" style="12" customWidth="1"/>
    <col min="6" max="16384" width="9.140625" style="3" customWidth="1"/>
  </cols>
  <sheetData>
    <row r="1" spans="1:5" s="2" customFormat="1" ht="15.75">
      <c r="A1" s="2" t="s">
        <v>6</v>
      </c>
      <c r="C1" s="16"/>
      <c r="D1" s="16"/>
      <c r="E1" s="16"/>
    </row>
    <row r="2" spans="3:5" s="2" customFormat="1" ht="15.75">
      <c r="C2" s="16"/>
      <c r="D2" s="16"/>
      <c r="E2" s="16"/>
    </row>
    <row r="3" spans="1:5" s="2" customFormat="1" ht="15.75">
      <c r="A3" s="2" t="s">
        <v>118</v>
      </c>
      <c r="C3" s="16"/>
      <c r="D3" s="16"/>
      <c r="E3" s="16"/>
    </row>
    <row r="4" spans="1:5" s="2" customFormat="1" ht="15.75">
      <c r="A4" s="2" t="s">
        <v>103</v>
      </c>
      <c r="C4" s="16"/>
      <c r="D4" s="16"/>
      <c r="E4" s="16"/>
    </row>
    <row r="6" spans="3:5" s="1" customFormat="1" ht="12.75">
      <c r="C6" s="17" t="s">
        <v>18</v>
      </c>
      <c r="D6" s="17"/>
      <c r="E6" s="17" t="s">
        <v>19</v>
      </c>
    </row>
    <row r="7" spans="3:5" s="1" customFormat="1" ht="12.75">
      <c r="C7" s="38" t="s">
        <v>102</v>
      </c>
      <c r="D7" s="18"/>
      <c r="E7" s="38" t="s">
        <v>95</v>
      </c>
    </row>
    <row r="8" spans="3:5" s="1" customFormat="1" ht="12.75">
      <c r="C8" s="17" t="s">
        <v>29</v>
      </c>
      <c r="D8" s="17"/>
      <c r="E8" s="17" t="s">
        <v>29</v>
      </c>
    </row>
    <row r="9" ht="12.75">
      <c r="A9" s="71" t="s">
        <v>119</v>
      </c>
    </row>
    <row r="10" spans="2:5" ht="12.75">
      <c r="B10" s="72" t="s">
        <v>121</v>
      </c>
      <c r="C10" s="11">
        <f>ROUND(+'[6]BS line-up'!$R$29/1000,0)</f>
        <v>4074</v>
      </c>
      <c r="D10" s="11"/>
      <c r="E10" s="11">
        <f>ROUND(5662098/1000,0)</f>
        <v>5662</v>
      </c>
    </row>
    <row r="11" spans="2:5" ht="12.75">
      <c r="B11" s="72" t="s">
        <v>120</v>
      </c>
      <c r="C11" s="11">
        <f>ROUND(+'[6]BS line-up'!$R$35/1000,0)</f>
        <v>690</v>
      </c>
      <c r="D11" s="11"/>
      <c r="E11" s="11">
        <f>ROUND(690000/1000,0)</f>
        <v>690</v>
      </c>
    </row>
    <row r="12" spans="2:5" ht="12.75">
      <c r="B12" s="72" t="s">
        <v>144</v>
      </c>
      <c r="C12" s="11">
        <f>ROUND(+'[6]BS line-up'!$R$34/1000,0)</f>
        <v>0</v>
      </c>
      <c r="D12" s="11"/>
      <c r="E12" s="11">
        <f>ROUND(25984933/1000,0)</f>
        <v>25985</v>
      </c>
    </row>
    <row r="13" spans="2:5" ht="12.75">
      <c r="B13" s="72" t="s">
        <v>122</v>
      </c>
      <c r="C13" s="11">
        <f>ROUND(+'[6]BS line-up'!$R$37/1000,0)</f>
        <v>0</v>
      </c>
      <c r="D13" s="11"/>
      <c r="E13" s="11">
        <f>ROUND(46207/1000,)</f>
        <v>46</v>
      </c>
    </row>
    <row r="14" spans="2:5" ht="12.75">
      <c r="B14" s="72" t="s">
        <v>123</v>
      </c>
      <c r="C14" s="11">
        <f>ROUND(+'[6]BS line-up'!$R$32/1000,0)</f>
        <v>6039</v>
      </c>
      <c r="D14" s="11"/>
      <c r="E14" s="11">
        <v>0</v>
      </c>
    </row>
    <row r="15" spans="1:5" ht="12.75">
      <c r="A15" s="1"/>
      <c r="C15" s="19">
        <f>SUM(C10:C14)</f>
        <v>10803</v>
      </c>
      <c r="D15" s="11"/>
      <c r="E15" s="19">
        <f>SUM(E10:E14)</f>
        <v>32383</v>
      </c>
    </row>
    <row r="16" spans="3:5" ht="12.75">
      <c r="C16" s="11"/>
      <c r="D16" s="11"/>
      <c r="E16" s="11"/>
    </row>
    <row r="17" spans="1:5" ht="12.75">
      <c r="A17" s="1" t="s">
        <v>7</v>
      </c>
      <c r="C17" s="11"/>
      <c r="D17" s="11"/>
      <c r="E17" s="11"/>
    </row>
    <row r="18" spans="2:5" ht="12.75">
      <c r="B18" s="3" t="s">
        <v>124</v>
      </c>
      <c r="C18" s="11">
        <f>ROUND(+'[6]BS line-up'!$R$41/1000,)-ROUND('[6]BS line-up'!$R$56/1000,0)</f>
        <v>9934</v>
      </c>
      <c r="D18" s="11"/>
      <c r="E18" s="11">
        <f>ROUND(28625573/1000,0)-1</f>
        <v>28625</v>
      </c>
    </row>
    <row r="19" spans="2:5" ht="12.75">
      <c r="B19" s="3" t="s">
        <v>13</v>
      </c>
      <c r="C19" s="45">
        <f>ROUND(+'[6]BS line-up'!$R$40/1000,0)-ROUND(+'[6]BS line-up'!$R$53/1000,0)</f>
        <v>181354</v>
      </c>
      <c r="D19" s="11"/>
      <c r="E19" s="11">
        <f>ROUND(63692659/1000,0)</f>
        <v>63693</v>
      </c>
    </row>
    <row r="20" spans="2:5" ht="12.75">
      <c r="B20" s="3" t="s">
        <v>12</v>
      </c>
      <c r="C20" s="11">
        <f>ROUND(+'[6]BS line-up'!$R$42/1000,0)</f>
        <v>2007</v>
      </c>
      <c r="D20" s="11"/>
      <c r="E20" s="11">
        <f>ROUND(2006801/1000,0)</f>
        <v>2007</v>
      </c>
    </row>
    <row r="21" spans="2:5" ht="12.75">
      <c r="B21" s="3" t="s">
        <v>125</v>
      </c>
      <c r="C21" s="11">
        <f>ROUND(+SUM('[6]BS line-up'!$R$43:$R$44)/1000,0)</f>
        <v>78958</v>
      </c>
      <c r="D21" s="11"/>
      <c r="E21" s="11">
        <f>ROUND(+(42332561+6724116)/1000,0)</f>
        <v>49057</v>
      </c>
    </row>
    <row r="22" spans="2:5" ht="12.75">
      <c r="B22" s="3" t="s">
        <v>152</v>
      </c>
      <c r="C22" s="11">
        <f>ROUND(+SUM('[6]BS line-up'!$R$49:$R$50)/1000,0)</f>
        <v>28492</v>
      </c>
      <c r="D22" s="11"/>
      <c r="E22" s="11">
        <f>ROUND(+(2746620+4603567)/1000,0)</f>
        <v>7350</v>
      </c>
    </row>
    <row r="23" spans="3:5" ht="12.75">
      <c r="C23" s="19">
        <f>SUM(C18:C22)</f>
        <v>300745</v>
      </c>
      <c r="D23" s="11"/>
      <c r="E23" s="19">
        <f>SUM(E18:E22)</f>
        <v>150732</v>
      </c>
    </row>
    <row r="24" spans="3:5" ht="12.75">
      <c r="C24" s="11"/>
      <c r="D24" s="11"/>
      <c r="E24" s="11"/>
    </row>
    <row r="25" spans="1:5" ht="12.75">
      <c r="A25" s="1" t="s">
        <v>8</v>
      </c>
      <c r="C25" s="11"/>
      <c r="D25" s="11"/>
      <c r="E25" s="11"/>
    </row>
    <row r="26" spans="2:5" ht="12.75">
      <c r="B26" s="3" t="s">
        <v>56</v>
      </c>
      <c r="C26" s="11">
        <f>ROUND(+SUM('[6]BS line-up'!$R$58:$R$64)/1000,0)</f>
        <v>115614</v>
      </c>
      <c r="D26" s="11"/>
      <c r="E26" s="11">
        <f>ROUND(+(48569022+17906126)/1000+273206/1000,0)</f>
        <v>66748</v>
      </c>
    </row>
    <row r="27" spans="2:5" ht="12.75">
      <c r="B27" s="3" t="s">
        <v>153</v>
      </c>
      <c r="C27" s="45">
        <f>ROUND(+SUM('[6]BS line-up'!$R$66:$R$67)/1000,0)</f>
        <v>25345</v>
      </c>
      <c r="D27" s="11"/>
      <c r="E27" s="11">
        <f>ROUND(36692724/1000,0)</f>
        <v>36693</v>
      </c>
    </row>
    <row r="28" spans="2:5" ht="12.75">
      <c r="B28" s="3" t="s">
        <v>140</v>
      </c>
      <c r="C28" s="11">
        <f>ROUND(+'[6]BS line-up'!$R$68/1000,)</f>
        <v>27095</v>
      </c>
      <c r="D28" s="11"/>
      <c r="E28" s="11">
        <f>ROUND(10948202/1000,0)</f>
        <v>10948</v>
      </c>
    </row>
    <row r="29" spans="3:5" ht="12.75">
      <c r="C29" s="19">
        <f>SUM(C25:C28)</f>
        <v>168054</v>
      </c>
      <c r="D29" s="11"/>
      <c r="E29" s="19">
        <f>SUM(E25:E28)</f>
        <v>114389</v>
      </c>
    </row>
    <row r="30" spans="3:5" ht="12.75">
      <c r="C30" s="11"/>
      <c r="D30" s="11"/>
      <c r="E30" s="11"/>
    </row>
    <row r="31" spans="1:5" ht="12.75">
      <c r="A31" s="1" t="s">
        <v>34</v>
      </c>
      <c r="C31" s="11">
        <f>+C23-C29</f>
        <v>132691</v>
      </c>
      <c r="D31" s="11"/>
      <c r="E31" s="11">
        <f>+E23-E29</f>
        <v>36343</v>
      </c>
    </row>
    <row r="32" spans="3:5" ht="12.75">
      <c r="C32" s="11"/>
      <c r="D32" s="11"/>
      <c r="E32" s="11"/>
    </row>
    <row r="33" spans="3:5" s="1" customFormat="1" ht="13.5" thickBot="1">
      <c r="C33" s="23">
        <f>+C31+C15</f>
        <v>143494</v>
      </c>
      <c r="D33" s="36"/>
      <c r="E33" s="23">
        <f>+E31+E15</f>
        <v>68726</v>
      </c>
    </row>
    <row r="34" spans="2:5" ht="13.5" thickTop="1">
      <c r="B34" s="3" t="s">
        <v>0</v>
      </c>
      <c r="C34" s="11" t="s">
        <v>0</v>
      </c>
      <c r="D34" s="11"/>
      <c r="E34" s="11"/>
    </row>
    <row r="35" spans="1:5" ht="12.75">
      <c r="A35" s="71" t="s">
        <v>9</v>
      </c>
      <c r="C35" s="11">
        <f>ROUND(+'[6]BS line-up'!$R$9/1000,0)</f>
        <v>51622</v>
      </c>
      <c r="D35" s="11"/>
      <c r="E35" s="11">
        <f>ROUND(51477446/1000,0)</f>
        <v>51477</v>
      </c>
    </row>
    <row r="36" spans="1:5" ht="12.75">
      <c r="A36" s="71" t="s">
        <v>10</v>
      </c>
      <c r="C36" s="11" t="s">
        <v>0</v>
      </c>
      <c r="D36" s="11"/>
      <c r="E36" s="11"/>
    </row>
    <row r="37" spans="2:7" ht="12.75">
      <c r="B37" s="3" t="s">
        <v>155</v>
      </c>
      <c r="C37" s="11">
        <f>ROUND(+'[6]BS line-up'!$R$10/1000,0)</f>
        <v>9419</v>
      </c>
      <c r="D37" s="11"/>
      <c r="E37" s="11">
        <f>ROUND(9388308/1000,0)</f>
        <v>9388</v>
      </c>
      <c r="F37" s="47">
        <f>+EQY!G21</f>
        <v>9419</v>
      </c>
      <c r="G37" s="53">
        <f>+C37-F37</f>
        <v>0</v>
      </c>
    </row>
    <row r="38" spans="2:7" ht="12.75">
      <c r="B38" s="3" t="s">
        <v>158</v>
      </c>
      <c r="C38" s="11">
        <f>ROUND(+'[6]BS line-up'!$R$11/1000,0)</f>
        <v>7020</v>
      </c>
      <c r="D38" s="11"/>
      <c r="E38" s="11">
        <f>ROUND(7019652/1000,0)</f>
        <v>7020</v>
      </c>
      <c r="F38" s="47">
        <f>+EQY!I21</f>
        <v>7020</v>
      </c>
      <c r="G38" s="53">
        <f aca="true" t="shared" si="0" ref="G38:G43">+C38-F38</f>
        <v>0</v>
      </c>
    </row>
    <row r="39" spans="2:7" ht="12.75">
      <c r="B39" s="3" t="s">
        <v>156</v>
      </c>
      <c r="C39" s="11">
        <f>ROUND(+'[6]BS line-up'!$R$13/1000,0)</f>
        <v>20516</v>
      </c>
      <c r="D39" s="11"/>
      <c r="E39" s="11">
        <f>ROUND(-6065078/1000,0)</f>
        <v>-6065</v>
      </c>
      <c r="F39" s="47">
        <f>+EQY!M21</f>
        <v>20516</v>
      </c>
      <c r="G39" s="53">
        <f t="shared" si="0"/>
        <v>0</v>
      </c>
    </row>
    <row r="40" spans="2:7" ht="12.75">
      <c r="B40" s="3" t="s">
        <v>11</v>
      </c>
      <c r="C40" s="24">
        <f>ROUND(+'[6]BS line-up'!$R$12/1000,0)</f>
        <v>30</v>
      </c>
      <c r="D40" s="11"/>
      <c r="E40" s="24">
        <f>ROUND(29.994,0)</f>
        <v>30</v>
      </c>
      <c r="F40" s="47">
        <f>+EQY!K21</f>
        <v>30</v>
      </c>
      <c r="G40" s="53">
        <f t="shared" si="0"/>
        <v>0</v>
      </c>
    </row>
    <row r="41" spans="1:7" ht="12.75">
      <c r="A41" s="3" t="s">
        <v>157</v>
      </c>
      <c r="C41" s="11">
        <f>SUM(C35:C40)</f>
        <v>88607</v>
      </c>
      <c r="D41" s="11"/>
      <c r="E41" s="11">
        <f>SUM(E35:E40)</f>
        <v>61850</v>
      </c>
      <c r="F41" s="47">
        <f>+EQY!O21</f>
        <v>88607</v>
      </c>
      <c r="G41" s="53">
        <f t="shared" si="0"/>
        <v>0</v>
      </c>
    </row>
    <row r="42" spans="1:7" ht="12.75">
      <c r="A42" s="3" t="s">
        <v>154</v>
      </c>
      <c r="C42" s="24">
        <f>ROUND(+'[6]BS line-up'!$R$16/1000,0)</f>
        <v>2457</v>
      </c>
      <c r="D42" s="11"/>
      <c r="E42" s="24">
        <f>ROUND(2168115/1000,0)</f>
        <v>2168</v>
      </c>
      <c r="F42" s="47">
        <f>+EQY!Q21</f>
        <v>2457</v>
      </c>
      <c r="G42" s="53">
        <f t="shared" si="0"/>
        <v>0</v>
      </c>
    </row>
    <row r="43" spans="1:7" ht="12.75">
      <c r="A43" s="1" t="s">
        <v>81</v>
      </c>
      <c r="C43" s="11">
        <f>SUM(C41:C42)</f>
        <v>91064</v>
      </c>
      <c r="D43" s="11"/>
      <c r="E43" s="11">
        <f>SUM(E41:E42)</f>
        <v>64018</v>
      </c>
      <c r="F43" s="47">
        <f>+EQY!S21</f>
        <v>91064</v>
      </c>
      <c r="G43" s="53">
        <f t="shared" si="0"/>
        <v>0</v>
      </c>
    </row>
    <row r="44" spans="3:5" ht="12.75">
      <c r="C44" s="11"/>
      <c r="D44" s="11"/>
      <c r="E44" s="11"/>
    </row>
    <row r="45" spans="1:5" ht="12.75">
      <c r="A45" s="1" t="s">
        <v>126</v>
      </c>
      <c r="C45" s="11"/>
      <c r="D45" s="11"/>
      <c r="E45" s="11"/>
    </row>
    <row r="46" spans="2:5" ht="12.75">
      <c r="B46" s="72" t="s">
        <v>127</v>
      </c>
      <c r="C46" s="11">
        <f>ROUND(+'[6]BS line-up'!$R$20/1000,0)</f>
        <v>776</v>
      </c>
      <c r="D46" s="11"/>
      <c r="E46" s="11">
        <f>ROUND(1315143/1000,0)</f>
        <v>1315</v>
      </c>
    </row>
    <row r="47" spans="2:5" ht="12.75">
      <c r="B47" s="72" t="s">
        <v>128</v>
      </c>
      <c r="C47" s="11">
        <f>ROUND(+'[6]BS line-up'!$R$21/1000,0)</f>
        <v>51581</v>
      </c>
      <c r="D47" s="11"/>
      <c r="E47" s="11">
        <f>ROUND(3318775/1000,0)</f>
        <v>3319</v>
      </c>
    </row>
    <row r="48" spans="2:5" ht="12.75">
      <c r="B48" s="72" t="s">
        <v>129</v>
      </c>
      <c r="C48" s="11">
        <f>ROUND(+'[6]BS line-up'!$R$19/1000,0)</f>
        <v>73</v>
      </c>
      <c r="D48" s="11"/>
      <c r="E48" s="11">
        <f>ROUND(73500/1000,0)</f>
        <v>74</v>
      </c>
    </row>
    <row r="49" spans="2:5" ht="12.75">
      <c r="B49" s="72"/>
      <c r="C49" s="19">
        <f>SUM(C46:C48)</f>
        <v>52430</v>
      </c>
      <c r="D49" s="11"/>
      <c r="E49" s="19">
        <f>SUM(E46:E48)</f>
        <v>4708</v>
      </c>
    </row>
    <row r="50" spans="3:5" ht="12.75">
      <c r="C50" s="11"/>
      <c r="D50" s="11"/>
      <c r="E50" s="11"/>
    </row>
    <row r="51" spans="3:5" s="1" customFormat="1" ht="13.5" thickBot="1">
      <c r="C51" s="23">
        <f>+C43+C49</f>
        <v>143494</v>
      </c>
      <c r="D51" s="36"/>
      <c r="E51" s="23">
        <f>+E43+E49</f>
        <v>68726</v>
      </c>
    </row>
    <row r="52" spans="3:5" s="1" customFormat="1" ht="13.5" thickTop="1">
      <c r="C52" s="36"/>
      <c r="D52" s="36"/>
      <c r="E52" s="36"/>
    </row>
    <row r="53" spans="1:5" s="1" customFormat="1" ht="12.75">
      <c r="A53" s="1" t="s">
        <v>86</v>
      </c>
      <c r="C53" s="58">
        <f>(+C33-SUM(C46:C48)-C42)/C35</f>
        <v>1.7164580992600054</v>
      </c>
      <c r="D53" s="58"/>
      <c r="E53" s="58">
        <f>(+E33-SUM(E46:E48)-E42)/E35</f>
        <v>1.201507469355246</v>
      </c>
    </row>
    <row r="54" spans="1:5" ht="12.75">
      <c r="A54" s="1" t="s">
        <v>87</v>
      </c>
      <c r="C54" s="59"/>
      <c r="D54" s="59"/>
      <c r="E54" s="59"/>
    </row>
    <row r="55" spans="1:5" ht="12.75">
      <c r="A55" s="1"/>
      <c r="C55" s="59"/>
      <c r="D55" s="59"/>
      <c r="E55" s="59"/>
    </row>
    <row r="56" spans="3:5" ht="12.75">
      <c r="C56" s="11"/>
      <c r="D56" s="11"/>
      <c r="E56" s="11"/>
    </row>
    <row r="57" s="12" customFormat="1" ht="12.75">
      <c r="A57" s="12" t="s">
        <v>51</v>
      </c>
    </row>
    <row r="58" s="12" customFormat="1" ht="12.75">
      <c r="A58" s="12" t="s">
        <v>96</v>
      </c>
    </row>
    <row r="59" ht="12.75">
      <c r="A59" s="41"/>
    </row>
    <row r="61" spans="3:5" ht="12.75">
      <c r="C61" s="11">
        <f>+C51-C33</f>
        <v>0</v>
      </c>
      <c r="D61" s="11"/>
      <c r="E61" s="11">
        <f>+E51-E33</f>
        <v>0</v>
      </c>
    </row>
  </sheetData>
  <printOptions/>
  <pageMargins left="0.67" right="0.19" top="1" bottom="0.75" header="0.5" footer="0.5"/>
  <pageSetup horizontalDpi="300" verticalDpi="300" orientation="portrait" paperSize="9" scale="94" r:id="rId1"/>
  <headerFooter alignWithMargins="0">
    <oddHeader>&amp;R2</oddHeader>
  </headerFooter>
  <rowBreaks count="1" manualBreakCount="1">
    <brk id="5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75" zoomScaleSheetLayoutView="75" workbookViewId="0" topLeftCell="A25">
      <selection activeCell="P74" sqref="P74"/>
    </sheetView>
  </sheetViews>
  <sheetFormatPr defaultColWidth="9.140625" defaultRowHeight="12.75"/>
  <cols>
    <col min="1" max="1" width="2.7109375" style="3" customWidth="1"/>
    <col min="2" max="2" width="3.28125" style="3" customWidth="1"/>
    <col min="3" max="7" width="9.140625" style="3" customWidth="1"/>
    <col min="8" max="8" width="3.421875" style="3" customWidth="1"/>
    <col min="9" max="9" width="5.421875" style="3" customWidth="1"/>
    <col min="10" max="10" width="7.140625" style="3" customWidth="1"/>
    <col min="11" max="11" width="13.00390625" style="3" customWidth="1"/>
    <col min="12" max="12" width="1.421875" style="3" customWidth="1"/>
    <col min="13" max="13" width="11.7109375" style="3" customWidth="1"/>
    <col min="14" max="14" width="6.8515625" style="3" customWidth="1"/>
    <col min="15" max="15" width="10.421875" style="3" bestFit="1" customWidth="1"/>
    <col min="16" max="16384" width="9.140625" style="3" customWidth="1"/>
  </cols>
  <sheetData>
    <row r="1" ht="15.75">
      <c r="A1" s="2" t="s">
        <v>6</v>
      </c>
    </row>
    <row r="2" ht="15.75">
      <c r="A2" s="2" t="s">
        <v>130</v>
      </c>
    </row>
    <row r="3" ht="15.75">
      <c r="A3" s="2" t="s">
        <v>113</v>
      </c>
    </row>
    <row r="4" ht="12.75">
      <c r="A4" s="1"/>
    </row>
    <row r="5" spans="11:13" ht="12.75">
      <c r="K5" s="67">
        <v>39447</v>
      </c>
      <c r="M5" s="54" t="s">
        <v>95</v>
      </c>
    </row>
    <row r="6" spans="11:13" ht="12.75">
      <c r="K6" s="8" t="s">
        <v>29</v>
      </c>
      <c r="M6" s="8" t="s">
        <v>29</v>
      </c>
    </row>
    <row r="7" ht="12.75">
      <c r="K7" s="51"/>
    </row>
    <row r="8" spans="1:11" ht="12.75">
      <c r="A8" s="1" t="s">
        <v>41</v>
      </c>
      <c r="K8" s="47"/>
    </row>
    <row r="9" spans="2:16" ht="12.75">
      <c r="B9" s="3" t="s">
        <v>67</v>
      </c>
      <c r="K9" s="47">
        <f>+'[7]Sheet1'!$J$3</f>
        <v>37634</v>
      </c>
      <c r="M9" s="47">
        <f>ROUND(3595918/1000,0)</f>
        <v>3596</v>
      </c>
      <c r="O9" s="47">
        <f>+'P&amp;L'!F35</f>
        <v>37634</v>
      </c>
      <c r="P9" s="47">
        <f>+K9-O9</f>
        <v>0</v>
      </c>
    </row>
    <row r="10" spans="11:13" ht="12.75">
      <c r="K10" s="47"/>
      <c r="M10" s="47"/>
    </row>
    <row r="11" spans="2:13" ht="12.75">
      <c r="B11" s="3" t="s">
        <v>131</v>
      </c>
      <c r="K11" s="47"/>
      <c r="M11" s="47"/>
    </row>
    <row r="12" spans="3:13" ht="12.75">
      <c r="C12" s="3" t="s">
        <v>52</v>
      </c>
      <c r="K12" s="47">
        <f>+'[7]Sheet1'!$M$3</f>
        <v>953</v>
      </c>
      <c r="M12" s="47">
        <f>ROUND(1158050/1000,0)</f>
        <v>1158</v>
      </c>
    </row>
    <row r="13" spans="3:13" ht="12.75">
      <c r="C13" s="3" t="s">
        <v>53</v>
      </c>
      <c r="K13" s="47">
        <f>+'[7]Sheet1'!$S$3</f>
        <v>-106</v>
      </c>
      <c r="M13" s="47">
        <f>ROUND(-76552/1000,0)</f>
        <v>-77</v>
      </c>
    </row>
    <row r="14" spans="3:13" ht="12.75">
      <c r="C14" s="3" t="s">
        <v>145</v>
      </c>
      <c r="K14" s="47">
        <v>0</v>
      </c>
      <c r="M14" s="47">
        <f>ROUND(-3006491/1000,0)</f>
        <v>-3006</v>
      </c>
    </row>
    <row r="15" spans="3:13" ht="12.75">
      <c r="C15" s="3" t="s">
        <v>50</v>
      </c>
      <c r="K15" s="47">
        <v>0</v>
      </c>
      <c r="M15" s="47">
        <f>ROUND(4148133/1000,0)</f>
        <v>4148</v>
      </c>
    </row>
    <row r="16" spans="3:13" ht="12.75">
      <c r="C16" s="3" t="s">
        <v>104</v>
      </c>
      <c r="K16" s="47">
        <v>0</v>
      </c>
      <c r="M16" s="47">
        <f>ROUND(75834/1000,0)</f>
        <v>76</v>
      </c>
    </row>
    <row r="17" spans="3:13" ht="12.75">
      <c r="C17" s="3" t="s">
        <v>105</v>
      </c>
      <c r="K17" s="47">
        <v>0</v>
      </c>
      <c r="M17" s="47">
        <f>ROUND(-395000/1000,0)</f>
        <v>-395</v>
      </c>
    </row>
    <row r="18" spans="3:13" ht="12.75">
      <c r="C18" s="3" t="s">
        <v>106</v>
      </c>
      <c r="K18" s="47">
        <v>0</v>
      </c>
      <c r="M18" s="47">
        <f>ROUND(3000000/1000,0)</f>
        <v>3000</v>
      </c>
    </row>
    <row r="19" spans="3:13" ht="12.75">
      <c r="C19" s="3" t="s">
        <v>110</v>
      </c>
      <c r="K19" s="47">
        <f>+'[7]Sheet1'!$R$3</f>
        <v>46</v>
      </c>
      <c r="M19" s="47">
        <v>0</v>
      </c>
    </row>
    <row r="20" spans="3:13" ht="12.75">
      <c r="C20" s="3" t="s">
        <v>42</v>
      </c>
      <c r="K20" s="47">
        <f>+'[7]Sheet1'!$AK$3</f>
        <v>-70</v>
      </c>
      <c r="M20" s="47">
        <f>ROUND(-303956/1000,0)</f>
        <v>-304</v>
      </c>
    </row>
    <row r="21" spans="3:13" ht="12.75">
      <c r="C21" s="3" t="s">
        <v>54</v>
      </c>
      <c r="K21" s="24">
        <f>+'[7]Sheet1'!$AJ$3</f>
        <v>215</v>
      </c>
      <c r="L21" s="12"/>
      <c r="M21" s="24">
        <f>ROUND(949091/1000,0)</f>
        <v>949</v>
      </c>
    </row>
    <row r="22" spans="11:13" ht="12.75">
      <c r="K22" s="11"/>
      <c r="M22" s="11"/>
    </row>
    <row r="23" spans="2:13" ht="12.75">
      <c r="B23" s="71" t="s">
        <v>68</v>
      </c>
      <c r="K23" s="37">
        <f>SUM(K9:K22)</f>
        <v>38672</v>
      </c>
      <c r="L23" s="48"/>
      <c r="M23" s="37">
        <f>SUM(M9:M22)</f>
        <v>9145</v>
      </c>
    </row>
    <row r="24" spans="11:13" ht="12.75">
      <c r="K24" s="47"/>
      <c r="M24" s="47"/>
    </row>
    <row r="25" spans="2:13" ht="12.75">
      <c r="B25" s="3" t="s">
        <v>143</v>
      </c>
      <c r="K25" s="47"/>
      <c r="M25" s="47"/>
    </row>
    <row r="26" spans="3:13" ht="12.75">
      <c r="C26" s="3" t="s">
        <v>12</v>
      </c>
      <c r="K26" s="11">
        <f>+'[7]Sheet1'!$Y$3</f>
        <v>0</v>
      </c>
      <c r="L26" s="12"/>
      <c r="M26" s="11">
        <f>ROUND(1186571/1000,0)</f>
        <v>1187</v>
      </c>
    </row>
    <row r="27" spans="3:13" ht="12.75">
      <c r="C27" s="3" t="s">
        <v>55</v>
      </c>
      <c r="K27" s="11">
        <f>+'[7]Sheet1'!$AQ$3</f>
        <v>18691</v>
      </c>
      <c r="L27" s="12"/>
      <c r="M27" s="11">
        <f>ROUND(-17480570/1000,0)</f>
        <v>-17481</v>
      </c>
    </row>
    <row r="28" spans="3:13" ht="12.75">
      <c r="C28" s="3" t="s">
        <v>13</v>
      </c>
      <c r="K28" s="37">
        <f>+'[7]Sheet1'!$AN$3</f>
        <v>-91676</v>
      </c>
      <c r="L28" s="12"/>
      <c r="M28" s="37">
        <f>ROUND(4951902/1000,)</f>
        <v>4952</v>
      </c>
    </row>
    <row r="29" spans="3:13" ht="12.75" hidden="1">
      <c r="C29" s="3" t="s">
        <v>70</v>
      </c>
      <c r="K29" s="37">
        <v>0</v>
      </c>
      <c r="L29" s="12"/>
      <c r="M29" s="11">
        <v>0</v>
      </c>
    </row>
    <row r="30" spans="3:13" ht="12.75">
      <c r="C30" s="3" t="s">
        <v>125</v>
      </c>
      <c r="K30" s="11">
        <f>+'[7]Sheet1'!$AR$3</f>
        <v>-29901</v>
      </c>
      <c r="L30" s="12"/>
      <c r="M30" s="11">
        <f>ROUND((-12855391/1000)+(2091689/1000),0)</f>
        <v>-10764</v>
      </c>
    </row>
    <row r="31" spans="3:13" ht="12.75">
      <c r="C31" s="3" t="s">
        <v>56</v>
      </c>
      <c r="K31" s="24">
        <f>+'[7]Sheet1'!$AS$3</f>
        <v>48442</v>
      </c>
      <c r="L31" s="12"/>
      <c r="M31" s="24">
        <f>ROUND(7955925/1000-10127535/1000,0)</f>
        <v>-2172</v>
      </c>
    </row>
    <row r="32" spans="3:13" ht="12.75" hidden="1">
      <c r="C32" s="3" t="s">
        <v>48</v>
      </c>
      <c r="K32" s="24">
        <f>+'[2]group'!$T$26/1000</f>
        <v>0</v>
      </c>
      <c r="L32" s="12"/>
      <c r="M32" s="24">
        <v>0</v>
      </c>
    </row>
    <row r="33" spans="3:13" ht="12.75" hidden="1">
      <c r="C33" s="3" t="s">
        <v>60</v>
      </c>
      <c r="K33" s="11">
        <v>0</v>
      </c>
      <c r="L33" s="12"/>
      <c r="M33" s="11">
        <v>0</v>
      </c>
    </row>
    <row r="34" spans="3:13" ht="12.75" hidden="1">
      <c r="C34" s="3" t="s">
        <v>48</v>
      </c>
      <c r="K34" s="24">
        <v>0</v>
      </c>
      <c r="L34" s="12"/>
      <c r="M34" s="24">
        <v>0</v>
      </c>
    </row>
    <row r="35" spans="11:13" ht="12.75">
      <c r="K35" s="11">
        <f>SUM(K26:K34)</f>
        <v>-54444</v>
      </c>
      <c r="L35" s="12"/>
      <c r="M35" s="11">
        <f>SUM(M26:M34)</f>
        <v>-24278</v>
      </c>
    </row>
    <row r="36" spans="11:13" ht="12.75">
      <c r="K36" s="11"/>
      <c r="M36" s="11"/>
    </row>
    <row r="37" spans="2:13" ht="12.75">
      <c r="B37" s="71" t="s">
        <v>132</v>
      </c>
      <c r="K37" s="47">
        <f>+K23+K35</f>
        <v>-15772</v>
      </c>
      <c r="M37" s="47">
        <f>+M23+M35</f>
        <v>-15133</v>
      </c>
    </row>
    <row r="38" spans="11:13" ht="12.75">
      <c r="K38" s="47"/>
      <c r="M38" s="47"/>
    </row>
    <row r="39" spans="3:13" ht="12.75">
      <c r="C39" s="3" t="s">
        <v>57</v>
      </c>
      <c r="K39" s="11">
        <f>+'[7]Sheet1'!$AX$3</f>
        <v>-657</v>
      </c>
      <c r="L39" s="12"/>
      <c r="M39" s="11">
        <f>+ROUND(-9.104,0)</f>
        <v>-9</v>
      </c>
    </row>
    <row r="40" spans="3:13" ht="12.75">
      <c r="C40" s="3" t="s">
        <v>43</v>
      </c>
      <c r="K40" s="37">
        <f>-K20</f>
        <v>70</v>
      </c>
      <c r="L40" s="12"/>
      <c r="M40" s="11">
        <f>ROUND(-M20,0)</f>
        <v>304</v>
      </c>
    </row>
    <row r="41" spans="3:15" ht="12.75">
      <c r="C41" s="3" t="s">
        <v>44</v>
      </c>
      <c r="K41" s="39">
        <f>-K21</f>
        <v>-215</v>
      </c>
      <c r="L41" s="12"/>
      <c r="M41" s="24">
        <f>ROUND(-M21,0)</f>
        <v>-949</v>
      </c>
      <c r="O41" s="11"/>
    </row>
    <row r="42" spans="11:15" ht="12.75">
      <c r="K42" s="11">
        <f>SUM(K39:K41)</f>
        <v>-802</v>
      </c>
      <c r="L42" s="12"/>
      <c r="M42" s="11">
        <f>SUM(M39:M41)</f>
        <v>-654</v>
      </c>
      <c r="O42" s="12"/>
    </row>
    <row r="43" spans="11:13" ht="12.75">
      <c r="K43" s="47"/>
      <c r="M43" s="11"/>
    </row>
    <row r="44" spans="2:13" ht="12.75">
      <c r="B44" s="71" t="s">
        <v>133</v>
      </c>
      <c r="K44" s="24">
        <f>+K37+K42</f>
        <v>-16574</v>
      </c>
      <c r="M44" s="24">
        <f>+M37+M42</f>
        <v>-15787</v>
      </c>
    </row>
    <row r="45" spans="11:13" ht="12.75">
      <c r="K45" s="11"/>
      <c r="M45" s="11"/>
    </row>
    <row r="46" spans="2:13" ht="12.75">
      <c r="B46" s="1" t="s">
        <v>45</v>
      </c>
      <c r="K46" s="47"/>
      <c r="M46" s="47"/>
    </row>
    <row r="47" spans="3:13" ht="12.75">
      <c r="C47" s="3" t="s">
        <v>46</v>
      </c>
      <c r="K47" s="47">
        <f>+'[7]Sheet1'!$BD$3</f>
        <v>-602</v>
      </c>
      <c r="M47" s="47">
        <f>ROUND(-628717/1000,0)</f>
        <v>-629</v>
      </c>
    </row>
    <row r="48" spans="3:13" ht="12.75">
      <c r="C48" s="3" t="s">
        <v>107</v>
      </c>
      <c r="K48" s="47">
        <f>+'[4]MPB-QR '!$I$48</f>
        <v>0</v>
      </c>
      <c r="M48" s="47">
        <f>ROUND(5610000/1000,0)</f>
        <v>5610</v>
      </c>
    </row>
    <row r="49" spans="3:13" ht="12.75">
      <c r="C49" s="3" t="s">
        <v>59</v>
      </c>
      <c r="K49" s="24">
        <f>+'[7]Sheet1'!$BE$3</f>
        <v>1509</v>
      </c>
      <c r="M49" s="24">
        <f>ROUND(388323/1000,0)</f>
        <v>388</v>
      </c>
    </row>
    <row r="50" spans="3:13" ht="12.75" hidden="1">
      <c r="C50" s="55" t="s">
        <v>60</v>
      </c>
      <c r="D50" s="55"/>
      <c r="E50" s="55"/>
      <c r="F50" s="55"/>
      <c r="G50" s="55"/>
      <c r="H50" s="55"/>
      <c r="I50" s="55"/>
      <c r="J50" s="55"/>
      <c r="K50" s="56">
        <v>0</v>
      </c>
      <c r="L50" s="55">
        <v>0</v>
      </c>
      <c r="M50" s="57">
        <v>0</v>
      </c>
    </row>
    <row r="52" spans="2:13" ht="12.75">
      <c r="B52" s="3" t="s">
        <v>142</v>
      </c>
      <c r="K52" s="11">
        <f>SUM(K47:K51)</f>
        <v>907</v>
      </c>
      <c r="M52" s="11">
        <f>SUM(M47:M51)</f>
        <v>5369</v>
      </c>
    </row>
    <row r="53" spans="11:13" ht="12.75">
      <c r="K53" s="47"/>
      <c r="M53" s="47"/>
    </row>
    <row r="54" spans="2:13" ht="12.75">
      <c r="B54" s="1" t="s">
        <v>47</v>
      </c>
      <c r="K54" s="47"/>
      <c r="M54" s="47"/>
    </row>
    <row r="55" spans="3:13" ht="12.75">
      <c r="C55" s="3" t="s">
        <v>72</v>
      </c>
      <c r="K55" s="47">
        <f>+'[7]Sheet1'!$BN$3</f>
        <v>-281.14300000000003</v>
      </c>
      <c r="M55" s="47">
        <f>ROUND(-517533/1000,0)</f>
        <v>-518</v>
      </c>
    </row>
    <row r="56" spans="3:13" ht="12.75">
      <c r="C56" s="3" t="s">
        <v>134</v>
      </c>
      <c r="K56" s="47">
        <f>+'[7]Sheet1'!$BK$3</f>
        <v>-8666.775000000001</v>
      </c>
      <c r="M56" s="47">
        <f>ROUND(-32540341/1000,0)</f>
        <v>-32540</v>
      </c>
    </row>
    <row r="57" spans="3:13" ht="12.75" hidden="1">
      <c r="C57" s="3" t="s">
        <v>97</v>
      </c>
      <c r="K57" s="47">
        <f>+'[3]MPB-QR '!$I$57</f>
        <v>0</v>
      </c>
      <c r="M57" s="47">
        <v>0</v>
      </c>
    </row>
    <row r="58" spans="3:13" ht="12.75">
      <c r="C58" s="3" t="s">
        <v>101</v>
      </c>
      <c r="K58" s="47">
        <f>+'[7]Sheet1'!$BL$3</f>
        <v>49500</v>
      </c>
      <c r="M58" s="47">
        <f>ROUND(37025781/1000,0)</f>
        <v>37026</v>
      </c>
    </row>
    <row r="59" spans="3:13" ht="12.75">
      <c r="C59" s="3" t="s">
        <v>135</v>
      </c>
      <c r="K59" s="11">
        <f>+'[4]MPB-QR '!$I$59</f>
        <v>0</v>
      </c>
      <c r="L59" s="12"/>
      <c r="M59" s="11">
        <f>ROUND(5575958/1000,0)</f>
        <v>5576</v>
      </c>
    </row>
    <row r="60" spans="3:13" ht="12.75">
      <c r="C60" s="3" t="s">
        <v>111</v>
      </c>
      <c r="K60" s="11">
        <f>+'[7]Sheet1'!$BI$3</f>
        <v>176</v>
      </c>
      <c r="L60" s="12"/>
      <c r="M60" s="11">
        <f>ROUND(4679767/1000,0)</f>
        <v>4680</v>
      </c>
    </row>
    <row r="61" spans="3:13" ht="12.75">
      <c r="C61" s="3" t="s">
        <v>100</v>
      </c>
      <c r="K61" s="24">
        <v>0</v>
      </c>
      <c r="M61" s="24">
        <f>ROUND(7019652/1000,0)</f>
        <v>7020</v>
      </c>
    </row>
    <row r="62" spans="3:13" ht="12.75" hidden="1">
      <c r="C62" s="3" t="s">
        <v>94</v>
      </c>
      <c r="K62" s="24">
        <f>+'[3]MPB-QR '!$I$61</f>
        <v>0</v>
      </c>
      <c r="M62" s="24">
        <v>0</v>
      </c>
    </row>
    <row r="63" spans="11:13" ht="12.75">
      <c r="K63" s="47"/>
      <c r="M63" s="47"/>
    </row>
    <row r="64" spans="2:13" ht="12.75">
      <c r="B64" s="3" t="s">
        <v>141</v>
      </c>
      <c r="K64" s="11">
        <f>SUM(K55:K63)</f>
        <v>40728.081999999995</v>
      </c>
      <c r="L64" s="12"/>
      <c r="M64" s="11">
        <f>SUM(M55:M63)</f>
        <v>21244</v>
      </c>
    </row>
    <row r="65" spans="11:13" ht="12.75">
      <c r="K65" s="47"/>
      <c r="M65" s="47"/>
    </row>
    <row r="66" spans="2:13" ht="12.75">
      <c r="B66" s="1" t="s">
        <v>69</v>
      </c>
      <c r="K66" s="47"/>
      <c r="M66" s="47"/>
    </row>
    <row r="67" spans="2:13" ht="12.75">
      <c r="B67" s="1" t="s">
        <v>61</v>
      </c>
      <c r="K67" s="47">
        <f>+K44+K52+K64</f>
        <v>25061.081999999995</v>
      </c>
      <c r="M67" s="47">
        <f>+M44+M52+M64</f>
        <v>10826</v>
      </c>
    </row>
    <row r="68" spans="2:13" ht="12.75">
      <c r="B68" s="1"/>
      <c r="K68" s="47"/>
      <c r="M68" s="47"/>
    </row>
    <row r="69" spans="2:13" ht="12.75">
      <c r="B69" s="1" t="s">
        <v>62</v>
      </c>
      <c r="K69" s="47"/>
      <c r="M69" s="47"/>
    </row>
    <row r="70" spans="2:13" ht="12.75">
      <c r="B70" s="1" t="s">
        <v>61</v>
      </c>
      <c r="K70" s="52">
        <f>+M73</f>
        <v>1756.7630000000008</v>
      </c>
      <c r="M70" s="47">
        <f>-9069237/1000</f>
        <v>-9069.237</v>
      </c>
    </row>
    <row r="71" spans="2:13" ht="12.75">
      <c r="B71" s="1"/>
      <c r="K71" s="47"/>
      <c r="M71" s="47"/>
    </row>
    <row r="72" spans="2:13" ht="12.75">
      <c r="B72" s="1" t="s">
        <v>63</v>
      </c>
      <c r="K72" s="47"/>
      <c r="M72" s="47"/>
    </row>
    <row r="73" spans="2:13" ht="13.5" thickBot="1">
      <c r="B73" s="1" t="s">
        <v>61</v>
      </c>
      <c r="K73" s="50">
        <f>SUM(K67:K70)</f>
        <v>26817.844999999994</v>
      </c>
      <c r="M73" s="50">
        <f>SUM(M67:M70)</f>
        <v>1756.7630000000008</v>
      </c>
    </row>
    <row r="74" spans="11:13" ht="12.75">
      <c r="K74" s="47"/>
      <c r="M74" s="47"/>
    </row>
    <row r="75" spans="2:13" ht="12.75">
      <c r="B75" s="3" t="s">
        <v>64</v>
      </c>
      <c r="K75" s="47"/>
      <c r="M75" s="47"/>
    </row>
    <row r="76" spans="3:13" ht="12.75">
      <c r="C76" s="3" t="s">
        <v>65</v>
      </c>
      <c r="K76" s="47">
        <f>'[7]Sheet1'!$E$31-K77</f>
        <v>19936</v>
      </c>
      <c r="M76" s="47">
        <f>4603567/1000</f>
        <v>4603.567</v>
      </c>
    </row>
    <row r="77" spans="3:13" ht="12.75">
      <c r="C77" s="3" t="s">
        <v>73</v>
      </c>
      <c r="K77" s="24">
        <f>ROUND(+'[5]MPB-QR '!$I$77,0)</f>
        <v>8556</v>
      </c>
      <c r="M77" s="24">
        <f>2746620/1000-1</f>
        <v>2745.62</v>
      </c>
    </row>
    <row r="78" spans="11:15" ht="12.75">
      <c r="K78" s="47">
        <f>SUM(K76:K77)</f>
        <v>28492</v>
      </c>
      <c r="M78" s="47">
        <f>SUM(M76:M77)+1</f>
        <v>7350.187</v>
      </c>
      <c r="O78" s="66">
        <f>+'BS'!C22</f>
        <v>28492</v>
      </c>
    </row>
    <row r="79" spans="3:15" ht="12.75">
      <c r="C79" s="3" t="s">
        <v>66</v>
      </c>
      <c r="K79" s="47">
        <f>ROUND(+'[5]MPB-QR '!$I$79,0)</f>
        <v>-1674</v>
      </c>
      <c r="M79" s="47">
        <f>-5593155/1000</f>
        <v>-5593.155</v>
      </c>
      <c r="O79" s="53">
        <f>+O78-K78</f>
        <v>0</v>
      </c>
    </row>
    <row r="80" spans="3:13" ht="12.75" hidden="1">
      <c r="C80" s="3" t="s">
        <v>74</v>
      </c>
      <c r="K80" s="47">
        <f>+-K78</f>
        <v>-28492</v>
      </c>
      <c r="M80" s="47">
        <f>-M78</f>
        <v>-7350.187</v>
      </c>
    </row>
    <row r="81" spans="11:13" ht="13.5" thickBot="1">
      <c r="K81" s="49">
        <f>+K78+K79</f>
        <v>26818</v>
      </c>
      <c r="M81" s="50">
        <f>+M78+M79</f>
        <v>1757.0320000000002</v>
      </c>
    </row>
    <row r="82" spans="11:13" ht="12.75">
      <c r="K82" s="42"/>
      <c r="M82" s="11"/>
    </row>
    <row r="83" spans="11:13" ht="12.75">
      <c r="K83" s="42"/>
      <c r="M83" s="11"/>
    </row>
    <row r="84" spans="1:13" ht="12.75">
      <c r="A84" s="12" t="s">
        <v>58</v>
      </c>
      <c r="M84" s="47"/>
    </row>
    <row r="85" spans="1:13" ht="12.75">
      <c r="A85" s="12" t="s">
        <v>96</v>
      </c>
      <c r="M85" s="47"/>
    </row>
    <row r="86" ht="12.75">
      <c r="M86" s="47"/>
    </row>
    <row r="87" spans="11:13" ht="12.75">
      <c r="K87" s="66">
        <f>+K73-K81</f>
        <v>-0.1550000000061118</v>
      </c>
      <c r="L87" s="53">
        <f>L73-L81</f>
        <v>0</v>
      </c>
      <c r="M87" s="53">
        <f>M73-M81</f>
        <v>-0.26899999999932334</v>
      </c>
    </row>
  </sheetData>
  <printOptions/>
  <pageMargins left="0.984251968503937" right="0.11811023622047245" top="0.7086614173228347" bottom="0.31496062992125984" header="0.5118110236220472" footer="0.5118110236220472"/>
  <pageSetup firstPageNumber="3" useFirstPageNumber="1" horizontalDpi="300" verticalDpi="300" orientation="portrait" paperSize="9" scale="7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view="pageBreakPreview" zoomScale="75" zoomScaleNormal="75" zoomScaleSheetLayoutView="75" workbookViewId="0" topLeftCell="A4">
      <selection activeCell="Q9" sqref="Q9"/>
    </sheetView>
  </sheetViews>
  <sheetFormatPr defaultColWidth="9.140625" defaultRowHeight="12.75"/>
  <cols>
    <col min="1" max="1" width="16.00390625" style="3" customWidth="1"/>
    <col min="2" max="2" width="1.28515625" style="3" customWidth="1"/>
    <col min="3" max="3" width="21.57421875" style="3" customWidth="1"/>
    <col min="4" max="4" width="0.71875" style="3" customWidth="1"/>
    <col min="5" max="5" width="12.8515625" style="3" customWidth="1"/>
    <col min="6" max="6" width="0.9921875" style="3" customWidth="1"/>
    <col min="7" max="7" width="13.57421875" style="3" customWidth="1"/>
    <col min="8" max="8" width="0.71875" style="3" customWidth="1"/>
    <col min="9" max="9" width="13.421875" style="3" customWidth="1"/>
    <col min="10" max="10" width="0.71875" style="3" customWidth="1"/>
    <col min="11" max="11" width="13.7109375" style="3" customWidth="1"/>
    <col min="12" max="12" width="0.9921875" style="3" customWidth="1"/>
    <col min="13" max="13" width="13.57421875" style="3" customWidth="1"/>
    <col min="14" max="14" width="0.71875" style="3" customWidth="1"/>
    <col min="15" max="15" width="15.00390625" style="3" customWidth="1"/>
    <col min="16" max="16" width="0.9921875" style="3" customWidth="1"/>
    <col min="17" max="17" width="14.28125" style="3" customWidth="1"/>
    <col min="18" max="18" width="0.9921875" style="3" customWidth="1"/>
    <col min="19" max="19" width="13.57421875" style="3" customWidth="1"/>
    <col min="20" max="16384" width="9.140625" style="3" customWidth="1"/>
  </cols>
  <sheetData>
    <row r="1" spans="1:2" s="20" customFormat="1" ht="15.75">
      <c r="A1" s="2" t="s">
        <v>6</v>
      </c>
      <c r="B1" s="2"/>
    </row>
    <row r="2" spans="1:2" s="20" customFormat="1" ht="15.75">
      <c r="A2" s="2"/>
      <c r="B2" s="2"/>
    </row>
    <row r="3" spans="1:2" s="20" customFormat="1" ht="15.75">
      <c r="A3" s="2" t="s">
        <v>136</v>
      </c>
      <c r="B3" s="2"/>
    </row>
    <row r="4" spans="1:2" s="20" customFormat="1" ht="15.75">
      <c r="A4" s="2" t="s">
        <v>113</v>
      </c>
      <c r="B4" s="2"/>
    </row>
    <row r="5" spans="1:2" s="20" customFormat="1" ht="15.75">
      <c r="A5" s="2"/>
      <c r="B5" s="2"/>
    </row>
    <row r="6" spans="1:2" s="20" customFormat="1" ht="15.75">
      <c r="A6" s="2"/>
      <c r="B6" s="2"/>
    </row>
    <row r="7" spans="5:19" ht="12.75">
      <c r="E7" s="74" t="s">
        <v>88</v>
      </c>
      <c r="F7" s="74"/>
      <c r="G7" s="74"/>
      <c r="H7" s="74"/>
      <c r="I7" s="74"/>
      <c r="J7" s="74"/>
      <c r="K7" s="74"/>
      <c r="L7" s="74"/>
      <c r="M7" s="74"/>
      <c r="N7" s="74"/>
      <c r="O7" s="74"/>
      <c r="Q7" s="29" t="s">
        <v>80</v>
      </c>
      <c r="R7" s="30"/>
      <c r="S7" s="29" t="s">
        <v>20</v>
      </c>
    </row>
    <row r="8" spans="7:19" ht="12.75">
      <c r="G8" s="75" t="s">
        <v>89</v>
      </c>
      <c r="H8" s="75"/>
      <c r="I8" s="75"/>
      <c r="J8" s="75"/>
      <c r="K8" s="75"/>
      <c r="M8" s="65" t="s">
        <v>90</v>
      </c>
      <c r="Q8" s="29" t="s">
        <v>159</v>
      </c>
      <c r="R8" s="30"/>
      <c r="S8" s="29" t="s">
        <v>79</v>
      </c>
    </row>
    <row r="10" spans="5:16" s="28" customFormat="1" ht="12.75">
      <c r="E10" s="29" t="s">
        <v>35</v>
      </c>
      <c r="F10" s="29"/>
      <c r="G10" s="29" t="s">
        <v>35</v>
      </c>
      <c r="H10" s="29"/>
      <c r="I10" s="29" t="s">
        <v>92</v>
      </c>
      <c r="J10" s="29"/>
      <c r="K10" s="29" t="s">
        <v>36</v>
      </c>
      <c r="L10" s="29"/>
      <c r="M10" s="29" t="s">
        <v>37</v>
      </c>
      <c r="N10" s="30"/>
      <c r="O10" s="29" t="s">
        <v>78</v>
      </c>
      <c r="P10" s="30"/>
    </row>
    <row r="11" spans="5:16" s="28" customFormat="1" ht="12.75">
      <c r="E11" s="29" t="s">
        <v>36</v>
      </c>
      <c r="F11" s="29"/>
      <c r="G11" s="29" t="s">
        <v>38</v>
      </c>
      <c r="H11" s="29"/>
      <c r="I11" s="29" t="s">
        <v>91</v>
      </c>
      <c r="J11" s="29"/>
      <c r="K11" s="29" t="s">
        <v>39</v>
      </c>
      <c r="L11" s="29"/>
      <c r="M11" s="29" t="s">
        <v>40</v>
      </c>
      <c r="N11" s="30"/>
      <c r="O11" s="29" t="s">
        <v>79</v>
      </c>
      <c r="P11" s="30"/>
    </row>
    <row r="12" spans="5:19" s="28" customFormat="1" ht="12.75">
      <c r="E12" s="30"/>
      <c r="F12" s="30"/>
      <c r="G12" s="30"/>
      <c r="H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3:19" s="28" customFormat="1" ht="12.75">
      <c r="C13" s="28" t="s">
        <v>71</v>
      </c>
      <c r="E13" s="29" t="s">
        <v>29</v>
      </c>
      <c r="F13" s="29"/>
      <c r="G13" s="29" t="s">
        <v>29</v>
      </c>
      <c r="H13" s="29"/>
      <c r="I13" s="29" t="s">
        <v>29</v>
      </c>
      <c r="J13" s="29"/>
      <c r="K13" s="29" t="s">
        <v>29</v>
      </c>
      <c r="L13" s="29"/>
      <c r="M13" s="29" t="s">
        <v>29</v>
      </c>
      <c r="N13" s="29"/>
      <c r="O13" s="29" t="s">
        <v>29</v>
      </c>
      <c r="P13" s="29"/>
      <c r="Q13" s="29" t="s">
        <v>29</v>
      </c>
      <c r="R13" s="29"/>
      <c r="S13" s="29" t="s">
        <v>29</v>
      </c>
    </row>
    <row r="14" s="28" customFormat="1" ht="12.75"/>
    <row r="15" spans="1:19" s="28" customFormat="1" ht="12.75">
      <c r="A15" s="73" t="s">
        <v>137</v>
      </c>
      <c r="E15" s="33"/>
      <c r="F15" s="31"/>
      <c r="G15" s="33"/>
      <c r="H15" s="31"/>
      <c r="I15" s="31"/>
      <c r="J15" s="31"/>
      <c r="K15" s="33"/>
      <c r="L15" s="31"/>
      <c r="M15" s="33"/>
      <c r="N15" s="31"/>
      <c r="O15" s="33"/>
      <c r="P15" s="31"/>
      <c r="Q15" s="33"/>
      <c r="R15" s="31"/>
      <c r="S15" s="33"/>
    </row>
    <row r="16" spans="1:19" s="28" customFormat="1" ht="12.75">
      <c r="A16" s="28" t="s">
        <v>98</v>
      </c>
      <c r="E16" s="33">
        <v>51477</v>
      </c>
      <c r="F16" s="33"/>
      <c r="G16" s="33">
        <v>9388</v>
      </c>
      <c r="H16" s="33"/>
      <c r="I16" s="33">
        <v>7020</v>
      </c>
      <c r="J16" s="33"/>
      <c r="K16" s="33">
        <v>30</v>
      </c>
      <c r="L16" s="33"/>
      <c r="M16" s="33">
        <v>-6065</v>
      </c>
      <c r="N16" s="33"/>
      <c r="O16" s="31">
        <f>SUM(E16:M16)</f>
        <v>61850</v>
      </c>
      <c r="P16" s="33"/>
      <c r="Q16" s="31">
        <f>2168</f>
        <v>2168</v>
      </c>
      <c r="R16" s="33"/>
      <c r="S16" s="31">
        <f>+O16+Q16</f>
        <v>64018</v>
      </c>
    </row>
    <row r="17" spans="1:19" s="28" customFormat="1" ht="12.75">
      <c r="A17" s="28" t="s">
        <v>49</v>
      </c>
      <c r="E17" s="31">
        <v>145</v>
      </c>
      <c r="F17" s="31"/>
      <c r="G17" s="31">
        <v>31</v>
      </c>
      <c r="H17" s="31"/>
      <c r="I17" s="31">
        <v>0</v>
      </c>
      <c r="J17" s="31"/>
      <c r="K17" s="31">
        <v>0</v>
      </c>
      <c r="L17" s="31"/>
      <c r="M17" s="31">
        <v>0</v>
      </c>
      <c r="N17" s="31"/>
      <c r="O17" s="31">
        <f>SUM(E17:M17)</f>
        <v>176</v>
      </c>
      <c r="P17" s="31"/>
      <c r="Q17" s="31"/>
      <c r="R17" s="31"/>
      <c r="S17" s="31">
        <f>+O17+Q17</f>
        <v>176</v>
      </c>
    </row>
    <row r="18" spans="1:19" s="28" customFormat="1" ht="12.75">
      <c r="A18" s="28" t="s">
        <v>93</v>
      </c>
      <c r="E18" s="31">
        <v>0</v>
      </c>
      <c r="F18" s="31"/>
      <c r="G18" s="31">
        <v>0</v>
      </c>
      <c r="H18" s="31"/>
      <c r="I18" s="31">
        <v>0</v>
      </c>
      <c r="J18" s="31"/>
      <c r="K18" s="31">
        <v>0</v>
      </c>
      <c r="L18" s="31"/>
      <c r="M18" s="31">
        <v>0</v>
      </c>
      <c r="N18" s="31"/>
      <c r="O18" s="31">
        <f>SUM(E18:M18)</f>
        <v>0</v>
      </c>
      <c r="P18" s="31"/>
      <c r="Q18" s="31">
        <v>0</v>
      </c>
      <c r="R18" s="31"/>
      <c r="S18" s="31">
        <f>+O18+Q18</f>
        <v>0</v>
      </c>
    </row>
    <row r="19" spans="1:19" s="28" customFormat="1" ht="12.75">
      <c r="A19" s="28" t="s">
        <v>138</v>
      </c>
      <c r="E19" s="32">
        <v>0</v>
      </c>
      <c r="F19" s="31"/>
      <c r="G19" s="32">
        <v>0</v>
      </c>
      <c r="H19" s="31"/>
      <c r="I19" s="32">
        <v>0</v>
      </c>
      <c r="J19" s="31"/>
      <c r="K19" s="32">
        <v>0</v>
      </c>
      <c r="L19" s="31"/>
      <c r="M19" s="63">
        <f>+'P&amp;L'!F43</f>
        <v>26581</v>
      </c>
      <c r="N19" s="31"/>
      <c r="O19" s="32">
        <f>SUM(E19:M19)</f>
        <v>26581</v>
      </c>
      <c r="P19" s="31"/>
      <c r="Q19" s="32">
        <f>+'P&amp;L'!F44</f>
        <v>289</v>
      </c>
      <c r="R19" s="31"/>
      <c r="S19" s="32">
        <f>+O19+Q19</f>
        <v>26870</v>
      </c>
    </row>
    <row r="20" spans="5:19" s="28" customFormat="1" ht="12.75">
      <c r="E20" s="33"/>
      <c r="F20" s="31"/>
      <c r="G20" s="33"/>
      <c r="H20" s="31"/>
      <c r="I20" s="31"/>
      <c r="J20" s="31"/>
      <c r="K20" s="33"/>
      <c r="L20" s="31"/>
      <c r="M20" s="33"/>
      <c r="N20" s="31"/>
      <c r="O20" s="33"/>
      <c r="P20" s="31"/>
      <c r="Q20" s="33"/>
      <c r="R20" s="31"/>
      <c r="S20" s="33"/>
    </row>
    <row r="21" spans="1:19" s="28" customFormat="1" ht="13.5" thickBot="1">
      <c r="A21" s="28" t="s">
        <v>108</v>
      </c>
      <c r="E21" s="34">
        <f>SUM(E16:E19)</f>
        <v>51622</v>
      </c>
      <c r="F21" s="35"/>
      <c r="G21" s="34">
        <f>SUM(G16:G19)</f>
        <v>9419</v>
      </c>
      <c r="H21" s="35"/>
      <c r="I21" s="34">
        <f>SUM(I16:I19)</f>
        <v>7020</v>
      </c>
      <c r="J21" s="35"/>
      <c r="K21" s="34">
        <f>SUM(K16:K19)</f>
        <v>30</v>
      </c>
      <c r="L21" s="35"/>
      <c r="M21" s="34">
        <f>SUM(M16:M19)</f>
        <v>20516</v>
      </c>
      <c r="N21" s="35"/>
      <c r="O21" s="34">
        <f>SUM(O16:O19)</f>
        <v>88607</v>
      </c>
      <c r="P21" s="35"/>
      <c r="Q21" s="34">
        <f>SUM(Q16:Q19)</f>
        <v>2457</v>
      </c>
      <c r="R21" s="35"/>
      <c r="S21" s="34">
        <f>SUM(S16:S19)</f>
        <v>91064</v>
      </c>
    </row>
    <row r="22" spans="5:20" s="28" customFormat="1" ht="12.75">
      <c r="E22" s="43"/>
      <c r="F22" s="35"/>
      <c r="G22" s="43"/>
      <c r="H22" s="35"/>
      <c r="I22" s="35"/>
      <c r="J22" s="35"/>
      <c r="K22" s="43"/>
      <c r="L22" s="35"/>
      <c r="M22" s="43"/>
      <c r="N22" s="35"/>
      <c r="O22" s="43"/>
      <c r="P22" s="35"/>
      <c r="Q22" s="43"/>
      <c r="R22" s="35"/>
      <c r="S22" s="43"/>
      <c r="T22" s="31"/>
    </row>
    <row r="23" spans="5:19" s="28" customFormat="1" ht="12.75">
      <c r="E23" s="43"/>
      <c r="F23" s="35"/>
      <c r="G23" s="43"/>
      <c r="H23" s="35"/>
      <c r="I23" s="35"/>
      <c r="J23" s="35"/>
      <c r="K23" s="43"/>
      <c r="L23" s="35"/>
      <c r="M23" s="43"/>
      <c r="N23" s="35"/>
      <c r="O23" s="43"/>
      <c r="P23" s="35"/>
      <c r="Q23" s="43"/>
      <c r="R23" s="35"/>
      <c r="S23" s="43"/>
    </row>
    <row r="24" spans="1:19" s="28" customFormat="1" ht="12.75">
      <c r="A24" s="73" t="s">
        <v>139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s="28" customFormat="1" ht="12.75">
      <c r="A25" s="28" t="s">
        <v>75</v>
      </c>
      <c r="E25" s="31">
        <f>ROUND(46797679/1000,0)-1</f>
        <v>46797</v>
      </c>
      <c r="F25" s="31"/>
      <c r="G25" s="31">
        <f>9388308/1000</f>
        <v>9388.308</v>
      </c>
      <c r="H25" s="31"/>
      <c r="I25" s="31">
        <v>0</v>
      </c>
      <c r="J25" s="31"/>
      <c r="K25" s="31">
        <v>29.994</v>
      </c>
      <c r="L25" s="31"/>
      <c r="M25" s="31">
        <f>ROUND(-6183549/1000,0)+1</f>
        <v>-6183</v>
      </c>
      <c r="N25" s="31"/>
      <c r="O25" s="31">
        <f>SUM(E25:M25)</f>
        <v>50032.302</v>
      </c>
      <c r="P25" s="31"/>
      <c r="Q25" s="31">
        <f>2193358/1000</f>
        <v>2193.358</v>
      </c>
      <c r="R25" s="31"/>
      <c r="S25" s="31">
        <f>+O25+Q25-1</f>
        <v>52224.66</v>
      </c>
    </row>
    <row r="26" spans="1:19" s="28" customFormat="1" ht="12.75">
      <c r="A26" s="28" t="s">
        <v>49</v>
      </c>
      <c r="E26" s="31">
        <f>4679767/1000</f>
        <v>4679.767</v>
      </c>
      <c r="F26" s="31"/>
      <c r="G26" s="31">
        <v>0</v>
      </c>
      <c r="H26" s="31"/>
      <c r="I26" s="31">
        <v>0</v>
      </c>
      <c r="J26" s="31"/>
      <c r="K26" s="31">
        <v>0</v>
      </c>
      <c r="L26" s="31"/>
      <c r="M26" s="31">
        <v>0</v>
      </c>
      <c r="N26" s="31"/>
      <c r="O26" s="31">
        <f>SUM(E26:M26)</f>
        <v>4679.767</v>
      </c>
      <c r="P26" s="31"/>
      <c r="Q26" s="31">
        <v>0</v>
      </c>
      <c r="R26" s="31"/>
      <c r="S26" s="31">
        <f>+O26+Q26</f>
        <v>4679.767</v>
      </c>
    </row>
    <row r="27" spans="1:19" s="28" customFormat="1" ht="12.75">
      <c r="A27" s="28" t="s">
        <v>93</v>
      </c>
      <c r="E27" s="31">
        <v>0</v>
      </c>
      <c r="F27" s="31"/>
      <c r="G27" s="31">
        <v>0</v>
      </c>
      <c r="H27" s="31"/>
      <c r="I27" s="31">
        <f>7019652/1000</f>
        <v>7019.652</v>
      </c>
      <c r="J27" s="31"/>
      <c r="K27" s="31">
        <v>0</v>
      </c>
      <c r="L27" s="31"/>
      <c r="M27" s="31">
        <v>0</v>
      </c>
      <c r="N27" s="31"/>
      <c r="O27" s="31">
        <f>SUM(E27:M27)</f>
        <v>7019.652</v>
      </c>
      <c r="P27" s="31"/>
      <c r="Q27" s="31">
        <v>0</v>
      </c>
      <c r="R27" s="31"/>
      <c r="S27" s="31">
        <f>+O27+Q27</f>
        <v>7019.652</v>
      </c>
    </row>
    <row r="28" spans="1:19" s="28" customFormat="1" ht="12.75">
      <c r="A28" s="28" t="s">
        <v>138</v>
      </c>
      <c r="E28" s="32">
        <v>0</v>
      </c>
      <c r="F28" s="31"/>
      <c r="G28" s="32">
        <v>0</v>
      </c>
      <c r="H28" s="31"/>
      <c r="I28" s="32">
        <v>0</v>
      </c>
      <c r="J28" s="31"/>
      <c r="K28" s="32">
        <v>0</v>
      </c>
      <c r="L28" s="31"/>
      <c r="M28" s="32">
        <f>+'P&amp;L'!H43</f>
        <v>118.471</v>
      </c>
      <c r="N28" s="31"/>
      <c r="O28" s="32">
        <f>SUM(E28:M28)</f>
        <v>118.471</v>
      </c>
      <c r="P28" s="31"/>
      <c r="Q28" s="63">
        <f>'P&amp;L'!H44</f>
        <v>-25.242</v>
      </c>
      <c r="R28" s="31"/>
      <c r="S28" s="32">
        <f>+O28+Q28</f>
        <v>93.229</v>
      </c>
    </row>
    <row r="29" spans="5:19" s="28" customFormat="1" ht="12.75">
      <c r="E29" s="33"/>
      <c r="F29" s="31"/>
      <c r="G29" s="33"/>
      <c r="H29" s="31"/>
      <c r="I29" s="31"/>
      <c r="J29" s="31"/>
      <c r="K29" s="33"/>
      <c r="L29" s="31"/>
      <c r="M29" s="33"/>
      <c r="N29" s="31"/>
      <c r="O29" s="33"/>
      <c r="P29" s="31"/>
      <c r="Q29" s="33"/>
      <c r="R29" s="31"/>
      <c r="S29" s="33"/>
    </row>
    <row r="30" spans="1:19" s="28" customFormat="1" ht="13.5" thickBot="1">
      <c r="A30" s="28" t="s">
        <v>109</v>
      </c>
      <c r="E30" s="34">
        <f>SUM(E25:E29)</f>
        <v>51476.767</v>
      </c>
      <c r="F30" s="43">
        <f aca="true" t="shared" si="0" ref="F30:L30">SUM(F25:F29)</f>
        <v>0</v>
      </c>
      <c r="G30" s="34">
        <f t="shared" si="0"/>
        <v>9388.308</v>
      </c>
      <c r="H30" s="43">
        <f t="shared" si="0"/>
        <v>0</v>
      </c>
      <c r="I30" s="34">
        <f t="shared" si="0"/>
        <v>7019.652</v>
      </c>
      <c r="J30" s="43"/>
      <c r="K30" s="34">
        <f t="shared" si="0"/>
        <v>29.994</v>
      </c>
      <c r="L30" s="34">
        <f t="shared" si="0"/>
        <v>0</v>
      </c>
      <c r="M30" s="34">
        <f aca="true" t="shared" si="1" ref="M30:R30">SUM(M25:M29)</f>
        <v>-6064.529</v>
      </c>
      <c r="N30" s="43">
        <f t="shared" si="1"/>
        <v>0</v>
      </c>
      <c r="O30" s="34">
        <f t="shared" si="1"/>
        <v>61850.192</v>
      </c>
      <c r="P30" s="43">
        <f t="shared" si="1"/>
        <v>0</v>
      </c>
      <c r="Q30" s="34">
        <f t="shared" si="1"/>
        <v>2168.116</v>
      </c>
      <c r="R30" s="43">
        <f t="shared" si="1"/>
        <v>0</v>
      </c>
      <c r="S30" s="64">
        <f>SUM(S25:S29)+1</f>
        <v>64018.308000000005</v>
      </c>
    </row>
    <row r="31" spans="5:19" s="28" customFormat="1" ht="12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5:19" s="28" customFormat="1" ht="12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20" ht="12.75">
      <c r="A33" s="40"/>
      <c r="B33" s="40"/>
      <c r="Q33" s="53"/>
      <c r="S33" s="53"/>
      <c r="T33" s="53"/>
    </row>
    <row r="34" spans="1:13" s="12" customFormat="1" ht="12.75">
      <c r="A34" s="12" t="s">
        <v>99</v>
      </c>
      <c r="M34" s="42"/>
    </row>
    <row r="35" spans="1:13" s="12" customFormat="1" ht="12.75">
      <c r="A35" s="12" t="s">
        <v>84</v>
      </c>
      <c r="M35" s="42"/>
    </row>
    <row r="36" spans="1:2" ht="12.75">
      <c r="A36" s="40"/>
      <c r="B36" s="40"/>
    </row>
    <row r="37" spans="1:2" ht="12.75">
      <c r="A37" s="40"/>
      <c r="B37" s="40"/>
    </row>
    <row r="38" spans="1:2" ht="12.75">
      <c r="A38" s="40"/>
      <c r="B38" s="40"/>
    </row>
    <row r="39" spans="1:2" ht="12.75">
      <c r="A39" s="40"/>
      <c r="B39" s="40"/>
    </row>
    <row r="40" spans="1:2" ht="12.75">
      <c r="A40" s="40"/>
      <c r="B40" s="40"/>
    </row>
    <row r="41" spans="1:2" ht="12.75">
      <c r="A41" s="40"/>
      <c r="B41" s="40"/>
    </row>
    <row r="42" spans="1:2" ht="12.75">
      <c r="A42" s="40"/>
      <c r="B42" s="40"/>
    </row>
  </sheetData>
  <mergeCells count="2">
    <mergeCell ref="E7:O7"/>
    <mergeCell ref="G8:K8"/>
  </mergeCells>
  <printOptions/>
  <pageMargins left="0.6692913385826772" right="0.5118110236220472" top="0.7874015748031497" bottom="0.984251968503937" header="0.5118110236220472" footer="0.5118110236220472"/>
  <pageSetup fitToHeight="1" fitToWidth="1" horizontalDpi="300" verticalDpi="300" orientation="landscape" paperSize="9" scale="87" r:id="rId1"/>
  <headerFooter alignWithMargins="0">
    <oddHeader>&amp;R4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49.421875" style="20" customWidth="1"/>
    <col min="2" max="2" width="19.7109375" style="20" customWidth="1"/>
    <col min="3" max="3" width="2.7109375" style="20" customWidth="1"/>
    <col min="4" max="4" width="22.140625" style="20" customWidth="1"/>
    <col min="5" max="5" width="13.8515625" style="20" bestFit="1" customWidth="1"/>
    <col min="6" max="6" width="1.7109375" style="20" customWidth="1"/>
    <col min="7" max="7" width="15.7109375" style="20" bestFit="1" customWidth="1"/>
    <col min="8" max="8" width="1.8515625" style="20" customWidth="1"/>
    <col min="9" max="16384" width="4.140625" style="20" customWidth="1"/>
  </cols>
  <sheetData>
    <row r="1" ht="15.75">
      <c r="A1" s="2" t="s">
        <v>6</v>
      </c>
    </row>
    <row r="2" ht="15.75">
      <c r="A2" s="2"/>
    </row>
    <row r="3" ht="15.75">
      <c r="A3" s="2" t="s">
        <v>21</v>
      </c>
    </row>
    <row r="4" ht="15.75">
      <c r="A4" s="2" t="s">
        <v>14</v>
      </c>
    </row>
    <row r="5" spans="1:7" s="22" customFormat="1" ht="12.75" customHeight="1">
      <c r="A5" s="6"/>
      <c r="B5" s="6"/>
      <c r="C5" s="6"/>
      <c r="D5" s="6"/>
      <c r="E5" s="6"/>
      <c r="F5" s="6"/>
      <c r="G5" s="6"/>
    </row>
    <row r="6" spans="2:9" ht="12.75" customHeight="1">
      <c r="B6" s="4">
        <v>2002</v>
      </c>
      <c r="C6" s="4"/>
      <c r="D6" s="4">
        <v>2001</v>
      </c>
      <c r="E6" s="4"/>
      <c r="F6" s="4"/>
      <c r="G6" s="4"/>
      <c r="H6" s="5"/>
      <c r="I6" s="5"/>
    </row>
    <row r="8" spans="2:4" s="5" customFormat="1" ht="12.75" customHeight="1">
      <c r="B8" s="5" t="s">
        <v>22</v>
      </c>
      <c r="D8" s="5" t="s">
        <v>22</v>
      </c>
    </row>
    <row r="9" spans="2:4" s="5" customFormat="1" ht="12.75" customHeight="1">
      <c r="B9" s="5" t="s">
        <v>23</v>
      </c>
      <c r="D9" s="5" t="s">
        <v>23</v>
      </c>
    </row>
    <row r="10" spans="2:4" s="5" customFormat="1" ht="12.75" customHeight="1">
      <c r="B10" s="5" t="s">
        <v>15</v>
      </c>
      <c r="D10" s="5" t="s">
        <v>15</v>
      </c>
    </row>
    <row r="12" spans="1:4" ht="12.75" customHeight="1">
      <c r="A12" s="20" t="s">
        <v>24</v>
      </c>
      <c r="B12" s="25">
        <v>0</v>
      </c>
      <c r="C12" s="25"/>
      <c r="D12" s="25">
        <v>0</v>
      </c>
    </row>
    <row r="13" spans="1:4" ht="12.75" customHeight="1">
      <c r="A13" s="20" t="s">
        <v>25</v>
      </c>
      <c r="B13" s="25">
        <v>0</v>
      </c>
      <c r="C13" s="25"/>
      <c r="D13" s="25">
        <v>0</v>
      </c>
    </row>
    <row r="14" spans="2:4" ht="12.75" customHeight="1">
      <c r="B14" s="25"/>
      <c r="C14" s="25"/>
      <c r="D14" s="25"/>
    </row>
    <row r="15" spans="1:4" ht="12.75" customHeight="1">
      <c r="A15" s="20" t="s">
        <v>26</v>
      </c>
      <c r="B15" s="25">
        <v>0</v>
      </c>
      <c r="C15" s="25"/>
      <c r="D15" s="25">
        <v>0</v>
      </c>
    </row>
    <row r="16" spans="2:4" ht="12.75" customHeight="1">
      <c r="B16" s="25"/>
      <c r="C16" s="25"/>
      <c r="D16" s="25"/>
    </row>
    <row r="17" spans="1:4" ht="12.75" customHeight="1">
      <c r="A17" s="20" t="s">
        <v>27</v>
      </c>
      <c r="B17" s="25">
        <v>0</v>
      </c>
      <c r="C17" s="25"/>
      <c r="D17" s="25">
        <v>0</v>
      </c>
    </row>
    <row r="18" spans="2:4" ht="12.75" customHeight="1">
      <c r="B18" s="25"/>
      <c r="C18" s="25"/>
      <c r="D18" s="25"/>
    </row>
    <row r="19" spans="1:4" ht="12.75" customHeight="1">
      <c r="A19" s="20" t="s">
        <v>28</v>
      </c>
      <c r="B19" s="25">
        <v>0</v>
      </c>
      <c r="C19" s="25"/>
      <c r="D19" s="25">
        <v>0</v>
      </c>
    </row>
    <row r="20" spans="2:4" ht="12.75" customHeight="1">
      <c r="B20" s="25"/>
      <c r="C20" s="25"/>
      <c r="D20" s="25"/>
    </row>
    <row r="22" s="15" customFormat="1" ht="12.75">
      <c r="A22" s="15" t="s">
        <v>32</v>
      </c>
    </row>
    <row r="23" s="15" customFormat="1" ht="12.75">
      <c r="A23" s="15" t="s">
        <v>31</v>
      </c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</sheetData>
  <printOptions horizontalCentered="1"/>
  <pageMargins left="0.5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Prima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 Prima Berhad</dc:creator>
  <cp:keywords/>
  <dc:description/>
  <cp:lastModifiedBy>MPB</cp:lastModifiedBy>
  <cp:lastPrinted>2008-02-25T10:26:42Z</cp:lastPrinted>
  <dcterms:created xsi:type="dcterms:W3CDTF">2002-05-19T06:20:37Z</dcterms:created>
  <dcterms:modified xsi:type="dcterms:W3CDTF">2008-02-27T09:42:52Z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-1091861654</vt:i4>
  </property>
  <property fmtid="{D5CDD505-2E9C-101B-9397-08002B2CF9AE}" pid="3" name="_EmailSubject">
    <vt:lpwstr>For Choy Kean - 1st Qtr</vt:lpwstr>
  </property>
  <property fmtid="{D5CDD505-2E9C-101B-9397-08002B2CF9AE}" pid="4" name="_AuthorEmail">
    <vt:lpwstr>saiful@magnaprima.com.my</vt:lpwstr>
  </property>
  <property fmtid="{D5CDD505-2E9C-101B-9397-08002B2CF9AE}" pid="5" name="_AuthorEmailDisplayName">
    <vt:lpwstr>saiful</vt:lpwstr>
  </property>
  <property fmtid="{D5CDD505-2E9C-101B-9397-08002B2CF9AE}" pid="6" name="_PreviousAdHocReviewCycleID">
    <vt:i4>383528047</vt:i4>
  </property>
  <property fmtid="{D5CDD505-2E9C-101B-9397-08002B2CF9AE}" pid="7" name="_ReviewingToolsShownOnce">
    <vt:lpwstr/>
  </property>
</Properties>
</file>